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827"/>
  <workbookPr/>
  <mc:AlternateContent xmlns:mc="http://schemas.openxmlformats.org/markup-compatibility/2006">
    <mc:Choice Requires="x15">
      <x15ac:absPath xmlns:x15ac="http://schemas.microsoft.com/office/spreadsheetml/2010/11/ac" url="C:\Users\corey\github\models\"/>
    </mc:Choice>
  </mc:AlternateContent>
  <xr:revisionPtr revIDLastSave="0" documentId="13_ncr:1_{78D8F968-5F10-47D1-A8BC-5195449F36D0}" xr6:coauthVersionLast="47" xr6:coauthVersionMax="47" xr10:uidLastSave="{00000000-0000-0000-0000-000000000000}"/>
  <bookViews>
    <workbookView xWindow="-110" yWindow="-110" windowWidth="19420" windowHeight="10300" xr2:uid="{00000000-000D-0000-FFFF-FFFF00000000}"/>
  </bookViews>
  <sheets>
    <sheet name="main" sheetId="2" r:id="rId1"/>
    <sheet name="model" sheetId="1" r:id="rId2"/>
    <sheet name="Affiliates" sheetId="10" r:id="rId3"/>
    <sheet name="Acquisitions" sheetId="3" r:id="rId4"/>
    <sheet name="Properties" sheetId="9" r:id="rId5"/>
    <sheet name="Agribusiness" sheetId="4" r:id="rId6"/>
    <sheet name="RefinedSpecialtyOils" sheetId="5" r:id="rId7"/>
    <sheet name="Milling" sheetId="6" r:id="rId8"/>
    <sheet name="CorporateOther" sheetId="7" r:id="rId9"/>
    <sheet name="SugarBioenergy" sheetId="8" r:id="rId1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175" i="1" l="1"/>
  <c r="M175" i="1"/>
  <c r="L175" i="1"/>
  <c r="K175" i="1"/>
  <c r="N74" i="1"/>
  <c r="M74" i="1"/>
  <c r="L74" i="1"/>
  <c r="K74" i="1"/>
  <c r="N66" i="1"/>
  <c r="M66" i="1"/>
  <c r="L66" i="1"/>
  <c r="K66" i="1"/>
  <c r="K211" i="1"/>
  <c r="K203" i="1"/>
  <c r="K201" i="1"/>
  <c r="K200" i="1"/>
  <c r="K199" i="1"/>
  <c r="K198" i="1"/>
  <c r="K197" i="1"/>
  <c r="K196" i="1"/>
  <c r="L211" i="1"/>
  <c r="L203" i="1"/>
  <c r="L201" i="1"/>
  <c r="L200" i="1"/>
  <c r="L199" i="1"/>
  <c r="L198" i="1"/>
  <c r="L197" i="1"/>
  <c r="L196" i="1"/>
  <c r="E126" i="1"/>
  <c r="E114" i="1"/>
  <c r="M193" i="1"/>
  <c r="M192" i="1"/>
  <c r="M191" i="1"/>
  <c r="M188" i="1"/>
  <c r="M187" i="1"/>
  <c r="M186" i="1"/>
  <c r="M185" i="1"/>
  <c r="M171" i="1"/>
  <c r="M169" i="1"/>
  <c r="M168" i="1"/>
  <c r="M167" i="1"/>
  <c r="M166" i="1"/>
  <c r="M165" i="1"/>
  <c r="M163" i="1"/>
  <c r="M160" i="1"/>
  <c r="M159" i="1"/>
  <c r="M158" i="1"/>
  <c r="M157" i="1"/>
  <c r="M155" i="1"/>
  <c r="M153" i="1"/>
  <c r="M152" i="1"/>
  <c r="M151" i="1"/>
  <c r="M150" i="1"/>
  <c r="M146" i="1"/>
  <c r="M145" i="1"/>
  <c r="M144" i="1"/>
  <c r="M143" i="1"/>
  <c r="M142" i="1"/>
  <c r="M141" i="1"/>
  <c r="M140" i="1"/>
  <c r="M136" i="1"/>
  <c r="M135" i="1"/>
  <c r="M134" i="1"/>
  <c r="E96" i="1"/>
  <c r="E94" i="1"/>
  <c r="E92" i="1"/>
  <c r="E91" i="1"/>
  <c r="E90" i="1"/>
  <c r="E89" i="1"/>
  <c r="E88" i="1"/>
  <c r="E87" i="1"/>
  <c r="E85" i="1"/>
  <c r="E84" i="1"/>
  <c r="K190" i="1"/>
  <c r="K184" i="1"/>
  <c r="K170" i="1"/>
  <c r="K172" i="1" s="1"/>
  <c r="K161" i="1"/>
  <c r="K156" i="1"/>
  <c r="K147" i="1"/>
  <c r="K139" i="1"/>
  <c r="K128" i="1"/>
  <c r="K106" i="1"/>
  <c r="K133" i="1" s="1"/>
  <c r="K86" i="1"/>
  <c r="K93" i="1" s="1"/>
  <c r="K95" i="1" s="1"/>
  <c r="K58" i="1"/>
  <c r="K64" i="1" s="1"/>
  <c r="K47" i="1"/>
  <c r="K53" i="1" s="1"/>
  <c r="K36" i="1"/>
  <c r="K42" i="1" s="1"/>
  <c r="K31" i="1"/>
  <c r="K83" i="1" s="1"/>
  <c r="K23" i="1"/>
  <c r="K29" i="1" s="1"/>
  <c r="K11" i="1"/>
  <c r="K17" i="1" s="1"/>
  <c r="E63" i="1"/>
  <c r="E62" i="1"/>
  <c r="E61" i="1"/>
  <c r="E60" i="1"/>
  <c r="E59" i="1"/>
  <c r="E57" i="1"/>
  <c r="E56" i="1"/>
  <c r="E52" i="1"/>
  <c r="E51" i="1"/>
  <c r="E50" i="1"/>
  <c r="E49" i="1"/>
  <c r="E48" i="1"/>
  <c r="E46" i="1"/>
  <c r="E45" i="1"/>
  <c r="E41" i="1"/>
  <c r="E40" i="1"/>
  <c r="E39" i="1"/>
  <c r="E38" i="1"/>
  <c r="E37" i="1"/>
  <c r="E35" i="1"/>
  <c r="E34" i="1"/>
  <c r="E33" i="1"/>
  <c r="E28" i="1"/>
  <c r="E27" i="1"/>
  <c r="E26" i="1"/>
  <c r="E25" i="1"/>
  <c r="E24" i="1"/>
  <c r="E22" i="1"/>
  <c r="E21" i="1"/>
  <c r="E20" i="1"/>
  <c r="M23" i="1"/>
  <c r="M29" i="1" s="1"/>
  <c r="E16" i="1"/>
  <c r="E15" i="1"/>
  <c r="E14" i="1"/>
  <c r="E13" i="1"/>
  <c r="E12" i="1"/>
  <c r="E10" i="1"/>
  <c r="E9" i="1"/>
  <c r="E8" i="1"/>
  <c r="M11" i="1"/>
  <c r="M17" i="1" s="1"/>
  <c r="L190" i="1"/>
  <c r="L184" i="1"/>
  <c r="L170" i="1"/>
  <c r="L172" i="1" s="1"/>
  <c r="L161" i="1"/>
  <c r="L156" i="1"/>
  <c r="L147" i="1"/>
  <c r="L139" i="1"/>
  <c r="L106" i="1"/>
  <c r="L133" i="1" s="1"/>
  <c r="L86" i="1"/>
  <c r="L93" i="1" s="1"/>
  <c r="L95" i="1" s="1"/>
  <c r="L58" i="1"/>
  <c r="L64" i="1" s="1"/>
  <c r="L47" i="1"/>
  <c r="L53" i="1" s="1"/>
  <c r="L36" i="1"/>
  <c r="L42" i="1" s="1"/>
  <c r="L31" i="1"/>
  <c r="L83" i="1" s="1"/>
  <c r="L23" i="1"/>
  <c r="L11" i="1"/>
  <c r="L17" i="1" s="1"/>
  <c r="C36" i="1"/>
  <c r="C42" i="1" s="1"/>
  <c r="C127" i="1"/>
  <c r="D127" i="1" s="1"/>
  <c r="C125" i="1"/>
  <c r="D125" i="1" s="1"/>
  <c r="C124" i="1"/>
  <c r="D124" i="1" s="1"/>
  <c r="C123" i="1"/>
  <c r="D123" i="1" s="1"/>
  <c r="C122" i="1"/>
  <c r="D122" i="1" s="1"/>
  <c r="C121" i="1"/>
  <c r="D121" i="1" s="1"/>
  <c r="C120" i="1"/>
  <c r="D120" i="1" s="1"/>
  <c r="C119" i="1"/>
  <c r="D119" i="1" s="1"/>
  <c r="C118" i="1"/>
  <c r="D118" i="1" s="1"/>
  <c r="C117" i="1"/>
  <c r="D117" i="1" s="1"/>
  <c r="C116" i="1"/>
  <c r="D116" i="1" s="1"/>
  <c r="C115" i="1"/>
  <c r="D115" i="1" s="1"/>
  <c r="C113" i="1"/>
  <c r="D113" i="1" s="1"/>
  <c r="C112" i="1"/>
  <c r="D112" i="1" s="1"/>
  <c r="C111" i="1"/>
  <c r="D111" i="1" s="1"/>
  <c r="C110" i="1"/>
  <c r="D110" i="1" s="1"/>
  <c r="C109" i="1"/>
  <c r="D109" i="1" s="1"/>
  <c r="C108" i="1"/>
  <c r="D108" i="1" s="1"/>
  <c r="G121" i="1"/>
  <c r="G120" i="1"/>
  <c r="H120" i="1" s="1"/>
  <c r="G119" i="1"/>
  <c r="H119" i="1" s="1"/>
  <c r="G122" i="1"/>
  <c r="H122" i="1" s="1"/>
  <c r="G123" i="1"/>
  <c r="H123" i="1" s="1"/>
  <c r="G124" i="1"/>
  <c r="H124" i="1" s="1"/>
  <c r="G125" i="1"/>
  <c r="H125" i="1" s="1"/>
  <c r="G118" i="1"/>
  <c r="H118" i="1" s="1"/>
  <c r="G117" i="1"/>
  <c r="H117" i="1" s="1"/>
  <c r="N117" i="1" s="1"/>
  <c r="G116" i="1"/>
  <c r="H116" i="1" s="1"/>
  <c r="G115" i="1"/>
  <c r="H115" i="1" s="1"/>
  <c r="G113" i="1"/>
  <c r="H113" i="1" s="1"/>
  <c r="G112" i="1"/>
  <c r="H112" i="1" s="1"/>
  <c r="G111" i="1"/>
  <c r="H111" i="1" s="1"/>
  <c r="G110" i="1"/>
  <c r="H110" i="1" s="1"/>
  <c r="N110" i="1" s="1"/>
  <c r="G109" i="1"/>
  <c r="H109" i="1" s="1"/>
  <c r="G127" i="1"/>
  <c r="H127" i="1" s="1"/>
  <c r="G108" i="1"/>
  <c r="H108" i="1" s="1"/>
  <c r="B47" i="1"/>
  <c r="B53" i="1" s="1"/>
  <c r="N58" i="1"/>
  <c r="N64" i="1" s="1"/>
  <c r="M58" i="1"/>
  <c r="M64" i="1" s="1"/>
  <c r="I58" i="1"/>
  <c r="I64" i="1" s="1"/>
  <c r="H58" i="1"/>
  <c r="H64" i="1" s="1"/>
  <c r="G58" i="1"/>
  <c r="G64" i="1" s="1"/>
  <c r="F58" i="1"/>
  <c r="F64" i="1" s="1"/>
  <c r="D58" i="1"/>
  <c r="D64" i="1" s="1"/>
  <c r="C58" i="1"/>
  <c r="C64" i="1" s="1"/>
  <c r="B58" i="1"/>
  <c r="B64" i="1" s="1"/>
  <c r="N47" i="1"/>
  <c r="N53" i="1" s="1"/>
  <c r="M47" i="1"/>
  <c r="M53" i="1" s="1"/>
  <c r="I47" i="1"/>
  <c r="I53" i="1" s="1"/>
  <c r="H47" i="1"/>
  <c r="H53" i="1" s="1"/>
  <c r="G47" i="1"/>
  <c r="G53" i="1" s="1"/>
  <c r="F47" i="1"/>
  <c r="F53" i="1" s="1"/>
  <c r="D47" i="1"/>
  <c r="D53" i="1" s="1"/>
  <c r="C47" i="1"/>
  <c r="C53" i="1" s="1"/>
  <c r="N36" i="1"/>
  <c r="N42" i="1" s="1"/>
  <c r="M36" i="1"/>
  <c r="M42" i="1" s="1"/>
  <c r="I36" i="1"/>
  <c r="I42" i="1" s="1"/>
  <c r="H36" i="1"/>
  <c r="H42" i="1" s="1"/>
  <c r="G36" i="1"/>
  <c r="G42" i="1" s="1"/>
  <c r="F36" i="1"/>
  <c r="F42" i="1" s="1"/>
  <c r="D36" i="1"/>
  <c r="D42" i="1" s="1"/>
  <c r="B36" i="1"/>
  <c r="B42" i="1" s="1"/>
  <c r="N23" i="1"/>
  <c r="N29" i="1" s="1"/>
  <c r="I23" i="1"/>
  <c r="I29" i="1" s="1"/>
  <c r="H23" i="1"/>
  <c r="H29" i="1" s="1"/>
  <c r="G23" i="1"/>
  <c r="G29" i="1" s="1"/>
  <c r="F23" i="1"/>
  <c r="F29" i="1" s="1"/>
  <c r="D23" i="1"/>
  <c r="D29" i="1" s="1"/>
  <c r="C23" i="1"/>
  <c r="C29" i="1" s="1"/>
  <c r="B23" i="1"/>
  <c r="B29" i="1" s="1"/>
  <c r="N11" i="1"/>
  <c r="N17" i="1" s="1"/>
  <c r="I11" i="1"/>
  <c r="I17" i="1" s="1"/>
  <c r="H11" i="1"/>
  <c r="H17" i="1" s="1"/>
  <c r="G11" i="1"/>
  <c r="G17" i="1" s="1"/>
  <c r="D11" i="1"/>
  <c r="D17" i="1" s="1"/>
  <c r="C11" i="1"/>
  <c r="C17" i="1" s="1"/>
  <c r="B11" i="1"/>
  <c r="B17" i="1" s="1"/>
  <c r="J83" i="1"/>
  <c r="N31" i="1"/>
  <c r="N83" i="1" s="1"/>
  <c r="M31" i="1"/>
  <c r="M83" i="1" s="1"/>
  <c r="I31" i="1"/>
  <c r="I83" i="1" s="1"/>
  <c r="H31" i="1"/>
  <c r="H83" i="1" s="1"/>
  <c r="G31" i="1"/>
  <c r="G83" i="1" s="1"/>
  <c r="F31" i="1"/>
  <c r="F83" i="1" s="1"/>
  <c r="E31" i="1"/>
  <c r="E83" i="1" s="1"/>
  <c r="D31" i="1"/>
  <c r="D83" i="1" s="1"/>
  <c r="C31" i="1"/>
  <c r="C83" i="1" s="1"/>
  <c r="B31" i="1"/>
  <c r="B83" i="1" s="1"/>
  <c r="F11" i="1"/>
  <c r="F17" i="1" s="1"/>
  <c r="N190" i="1"/>
  <c r="I190" i="1"/>
  <c r="H190" i="1"/>
  <c r="G190" i="1"/>
  <c r="F190" i="1"/>
  <c r="E190" i="1"/>
  <c r="D190" i="1"/>
  <c r="C190" i="1"/>
  <c r="B190" i="1"/>
  <c r="N184" i="1"/>
  <c r="I184" i="1"/>
  <c r="H184" i="1"/>
  <c r="G184" i="1"/>
  <c r="F184" i="1"/>
  <c r="E184" i="1"/>
  <c r="D184" i="1"/>
  <c r="C184" i="1"/>
  <c r="B184" i="1"/>
  <c r="I128" i="1"/>
  <c r="F128" i="1"/>
  <c r="B128" i="1"/>
  <c r="N170" i="1"/>
  <c r="N172" i="1" s="1"/>
  <c r="I170" i="1"/>
  <c r="I172" i="1" s="1"/>
  <c r="H170" i="1"/>
  <c r="H172" i="1" s="1"/>
  <c r="G170" i="1"/>
  <c r="G172" i="1" s="1"/>
  <c r="F170" i="1"/>
  <c r="F172" i="1" s="1"/>
  <c r="E170" i="1"/>
  <c r="E172" i="1" s="1"/>
  <c r="D170" i="1"/>
  <c r="D172" i="1" s="1"/>
  <c r="C170" i="1"/>
  <c r="C172" i="1" s="1"/>
  <c r="B170" i="1"/>
  <c r="B172" i="1" s="1"/>
  <c r="N161" i="1"/>
  <c r="I161" i="1"/>
  <c r="H161" i="1"/>
  <c r="G161" i="1"/>
  <c r="F161" i="1"/>
  <c r="E161" i="1"/>
  <c r="D161" i="1"/>
  <c r="C161" i="1"/>
  <c r="B161" i="1"/>
  <c r="N156" i="1"/>
  <c r="I156" i="1"/>
  <c r="H156" i="1"/>
  <c r="G156" i="1"/>
  <c r="F156" i="1"/>
  <c r="E156" i="1"/>
  <c r="D156" i="1"/>
  <c r="C156" i="1"/>
  <c r="B156" i="1"/>
  <c r="N147" i="1"/>
  <c r="I147" i="1"/>
  <c r="H147" i="1"/>
  <c r="G147" i="1"/>
  <c r="F147" i="1"/>
  <c r="E147" i="1"/>
  <c r="D147" i="1"/>
  <c r="C147" i="1"/>
  <c r="N139" i="1"/>
  <c r="I139" i="1"/>
  <c r="H139" i="1"/>
  <c r="G139" i="1"/>
  <c r="F139" i="1"/>
  <c r="E139" i="1"/>
  <c r="D139" i="1"/>
  <c r="C139" i="1"/>
  <c r="B147" i="1"/>
  <c r="B139" i="1"/>
  <c r="N106" i="1"/>
  <c r="N133" i="1" s="1"/>
  <c r="M106" i="1"/>
  <c r="M133" i="1" s="1"/>
  <c r="J106" i="1"/>
  <c r="I106" i="1"/>
  <c r="I133" i="1" s="1"/>
  <c r="H106" i="1"/>
  <c r="H133" i="1" s="1"/>
  <c r="G106" i="1"/>
  <c r="G133" i="1" s="1"/>
  <c r="F106" i="1"/>
  <c r="F133" i="1" s="1"/>
  <c r="E106" i="1"/>
  <c r="E133" i="1" s="1"/>
  <c r="D106" i="1"/>
  <c r="D133" i="1" s="1"/>
  <c r="C106" i="1"/>
  <c r="C133" i="1" s="1"/>
  <c r="B106" i="1"/>
  <c r="B133" i="1" s="1"/>
  <c r="N86" i="1"/>
  <c r="N93" i="1" s="1"/>
  <c r="N95" i="1" s="1"/>
  <c r="N97" i="1" s="1"/>
  <c r="N99" i="1" s="1"/>
  <c r="M86" i="1"/>
  <c r="M93" i="1" s="1"/>
  <c r="M95" i="1" s="1"/>
  <c r="M97" i="1" s="1"/>
  <c r="M99" i="1" s="1"/>
  <c r="I86" i="1"/>
  <c r="I93" i="1" s="1"/>
  <c r="I95" i="1" s="1"/>
  <c r="I97" i="1" s="1"/>
  <c r="H86" i="1"/>
  <c r="H93" i="1" s="1"/>
  <c r="H95" i="1" s="1"/>
  <c r="H97" i="1" s="1"/>
  <c r="G86" i="1"/>
  <c r="G93" i="1" s="1"/>
  <c r="G95" i="1" s="1"/>
  <c r="G97" i="1" s="1"/>
  <c r="F86" i="1"/>
  <c r="F93" i="1" s="1"/>
  <c r="F95" i="1" s="1"/>
  <c r="F107" i="1" s="1"/>
  <c r="D86" i="1"/>
  <c r="D93" i="1" s="1"/>
  <c r="D95" i="1" s="1"/>
  <c r="D97" i="1" s="1"/>
  <c r="C86" i="1"/>
  <c r="C93" i="1" s="1"/>
  <c r="C95" i="1" s="1"/>
  <c r="B86" i="1"/>
  <c r="B93" i="1" s="1"/>
  <c r="B95" i="1" s="1"/>
  <c r="B97" i="1" s="1"/>
  <c r="M161" i="1" l="1"/>
  <c r="L195" i="1"/>
  <c r="E110" i="1"/>
  <c r="E111" i="1"/>
  <c r="E112" i="1"/>
  <c r="E119" i="1"/>
  <c r="E120" i="1"/>
  <c r="E127" i="1"/>
  <c r="E113" i="1"/>
  <c r="E121" i="1"/>
  <c r="M170" i="1"/>
  <c r="M172" i="1" s="1"/>
  <c r="M190" i="1"/>
  <c r="E122" i="1"/>
  <c r="E115" i="1"/>
  <c r="E123" i="1"/>
  <c r="E108" i="1"/>
  <c r="E116" i="1"/>
  <c r="E124" i="1"/>
  <c r="E109" i="1"/>
  <c r="E117" i="1"/>
  <c r="E125" i="1"/>
  <c r="M184" i="1"/>
  <c r="E118" i="1"/>
  <c r="K195" i="1"/>
  <c r="E58" i="1"/>
  <c r="E64" i="1" s="1"/>
  <c r="E47" i="1"/>
  <c r="E53" i="1" s="1"/>
  <c r="E86" i="1"/>
  <c r="E93" i="1" s="1"/>
  <c r="E95" i="1" s="1"/>
  <c r="E107" i="1" s="1"/>
  <c r="K162" i="1"/>
  <c r="K173" i="1" s="1"/>
  <c r="M147" i="1"/>
  <c r="M156" i="1"/>
  <c r="M139" i="1"/>
  <c r="K148" i="1"/>
  <c r="K107" i="1"/>
  <c r="K97" i="1"/>
  <c r="K99" i="1" s="1"/>
  <c r="K131" i="1"/>
  <c r="K130" i="1"/>
  <c r="E23" i="1"/>
  <c r="E29" i="1" s="1"/>
  <c r="E36" i="1"/>
  <c r="E42" i="1" s="1"/>
  <c r="L162" i="1"/>
  <c r="L173" i="1" s="1"/>
  <c r="E11" i="1"/>
  <c r="E17" i="1" s="1"/>
  <c r="L29" i="1"/>
  <c r="L148" i="1"/>
  <c r="L131" i="1"/>
  <c r="L107" i="1"/>
  <c r="L97" i="1"/>
  <c r="L99" i="1" s="1"/>
  <c r="L130" i="1"/>
  <c r="H121" i="1"/>
  <c r="N121" i="1" s="1"/>
  <c r="N112" i="1"/>
  <c r="N113" i="1"/>
  <c r="N122" i="1"/>
  <c r="D128" i="1"/>
  <c r="N127" i="1"/>
  <c r="N124" i="1"/>
  <c r="N123" i="1"/>
  <c r="N120" i="1"/>
  <c r="N118" i="1"/>
  <c r="N115" i="1"/>
  <c r="N111" i="1"/>
  <c r="N116" i="1"/>
  <c r="N119" i="1"/>
  <c r="N125" i="1"/>
  <c r="N108" i="1"/>
  <c r="C131" i="1"/>
  <c r="N131" i="1"/>
  <c r="D131" i="1"/>
  <c r="H131" i="1"/>
  <c r="I131" i="1"/>
  <c r="F131" i="1"/>
  <c r="B131" i="1"/>
  <c r="D130" i="1"/>
  <c r="F130" i="1"/>
  <c r="B130" i="1"/>
  <c r="C128" i="1"/>
  <c r="I130" i="1"/>
  <c r="H130" i="1"/>
  <c r="N130" i="1"/>
  <c r="C130" i="1"/>
  <c r="G128" i="1"/>
  <c r="E131" i="1"/>
  <c r="E130" i="1"/>
  <c r="G131" i="1"/>
  <c r="G130" i="1"/>
  <c r="B162" i="1"/>
  <c r="B173" i="1" s="1"/>
  <c r="C148" i="1"/>
  <c r="N148" i="1"/>
  <c r="H162" i="1"/>
  <c r="H173" i="1" s="1"/>
  <c r="G148" i="1"/>
  <c r="E148" i="1"/>
  <c r="D162" i="1"/>
  <c r="D173" i="1" s="1"/>
  <c r="N162" i="1"/>
  <c r="N173" i="1" s="1"/>
  <c r="E162" i="1"/>
  <c r="E173" i="1" s="1"/>
  <c r="C162" i="1"/>
  <c r="C173" i="1" s="1"/>
  <c r="C97" i="1"/>
  <c r="C104" i="1" s="1"/>
  <c r="C107" i="1"/>
  <c r="H107" i="1"/>
  <c r="D107" i="1"/>
  <c r="I107" i="1"/>
  <c r="D148" i="1"/>
  <c r="G162" i="1"/>
  <c r="G173" i="1" s="1"/>
  <c r="I162" i="1"/>
  <c r="I173" i="1" s="1"/>
  <c r="G107" i="1"/>
  <c r="B148" i="1"/>
  <c r="B107" i="1"/>
  <c r="M107" i="1"/>
  <c r="N107" i="1"/>
  <c r="F162" i="1"/>
  <c r="F173" i="1" s="1"/>
  <c r="F148" i="1"/>
  <c r="G104" i="1"/>
  <c r="G103" i="1"/>
  <c r="I103" i="1"/>
  <c r="I104" i="1"/>
  <c r="B104" i="1"/>
  <c r="B103" i="1"/>
  <c r="M103" i="1"/>
  <c r="M104" i="1"/>
  <c r="N103" i="1"/>
  <c r="N104" i="1"/>
  <c r="H103" i="1"/>
  <c r="H104" i="1"/>
  <c r="D103" i="1"/>
  <c r="D104" i="1"/>
  <c r="I148" i="1"/>
  <c r="H148" i="1"/>
  <c r="F97" i="1"/>
  <c r="M162" i="1" l="1"/>
  <c r="M173" i="1" s="1"/>
  <c r="E128" i="1"/>
  <c r="M131" i="1"/>
  <c r="M130" i="1"/>
  <c r="M148" i="1"/>
  <c r="E97" i="1"/>
  <c r="E103" i="1" s="1"/>
  <c r="K104" i="1"/>
  <c r="K103" i="1"/>
  <c r="L128" i="1"/>
  <c r="L104" i="1"/>
  <c r="L103" i="1"/>
  <c r="H128" i="1"/>
  <c r="M128" i="1"/>
  <c r="N128" i="1"/>
  <c r="C103" i="1"/>
  <c r="F103" i="1"/>
  <c r="F104" i="1"/>
  <c r="E104"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tc={F90B7CCE-F478-4C4A-8BCD-6031C4633226}</author>
    <author>tc={2BA44E43-A567-4178-B345-DB6EFDB0BA5D}</author>
    <author>tc={F568AF03-862A-44CB-BAF9-30347F8CF93E}</author>
  </authors>
  <commentList>
    <comment ref="E12" authorId="0" shapeId="0" xr:uid="{F90B7CCE-F478-4C4A-8BCD-6031C4633226}">
      <text>
        <t xml:space="preserve">[Threaded comment]
Your version of Excel allows you to read this threaded comment; however, any edits to it will get removed if the file is opened in a newer version of Excel. Learn more: https://go.microsoft.com/fwlink/?linkid=870924
Comment:
    We offer various financial services, principally trade structured finance and financial risk management services, to customers and other third parties. Our trade structured finance operations primarily leverage our international trade flows to generate trade finance derived liquidity in emerging markets for third parties. Our financial risk management services include structuring and marketing risk management products to enable agricultural producers and end users of commodities to manage commodity price risk exposures. We also engage in foreign exchange and other financial instrument trading via our financial services business. Additionally, we provide financing services to farmers, primarily in Brazil, from whom we purchase soybeans and other agricultural commodities. Our farmer financing activities are an integral part of our grain and oilseed origination activities as they help assure the annual supply of raw materials for our Brazilian agribusiness operations. </t>
      </text>
    </comment>
    <comment ref="E13" authorId="1" shapeId="0" xr:uid="{2BA44E43-A567-4178-B345-DB6EFDB0BA5D}">
      <text>
        <t xml:space="preserve">[Threaded comment]
Your version of Excel allows you to read this threaded comment; however, any edits to it will get removed if the file is opened in a newer version of Excel. Learn more: https://go.microsoft.com/fwlink/?linkid=870924
Comment:
    We own and operate conventional biodiesel facilities in Europe and Brazil and have equity method investments in conventional biodiesel producers in Europe and Argentina. This business is complementary to our core Agribusiness operations as in each case we supply some of the raw materials (refined or partially refined vegetable oil) used in their production processes. 
</t>
      </text>
    </comment>
    <comment ref="E14" authorId="2" shapeId="0" xr:uid="{F568AF03-862A-44CB-BAF9-30347F8CF93E}">
      <text>
        <t xml:space="preserve">[Threaded comment]
Your version of Excel allows you to read this threaded comment; however, any edits to it will get removed if the file is opened in a newer version of Excel. Learn more: https://go.microsoft.com/fwlink/?linkid=870924
Comment:
    We purchase oilseeds and grains either directly from farmers or indirectly through intermediaries. Although the availability and price of agricultural commodities may, in any given year, be affected by unpredictable factors such as weather, government programs and policies, and farmer planting and selling decisions, our operations in major crop growing regions have enabled us to source adequate raw materials for our operational needs.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tc={8C2DAA3F-9869-40A8-8ED6-1C427505B87B}</author>
    <author>tc={52926FA8-7778-4A34-AD49-F339EA37B668}</author>
  </authors>
  <commentList>
    <comment ref="A190" authorId="0" shapeId="0" xr:uid="{8C2DAA3F-9869-40A8-8ED6-1C427505B87B}">
      <text>
        <t xml:space="preserve">[Threaded comment]
Your version of Excel allows you to read this threaded comment; however, any edits to it will get removed if the file is opened in a newer version of Excel. Learn more: https://go.microsoft.com/fwlink/?linkid=870924
Comment:
    Readily marketable inventories ("RMI") are agricultural commodity inventories, such as soybeans, soybean meal, soybean oil, palm oil, corn, and wheat carried at fair value because of their commodity characteristics, widely available markets, and international pricing mechanisms. All other inventories are carried at lower of cost or net realizable value. </t>
      </text>
    </comment>
    <comment ref="F191" authorId="1" shapeId="0" xr:uid="{52926FA8-7778-4A34-AD49-F339EA37B668}">
      <text>
        <t xml:space="preserve">[Threaded comment]
Your version of Excel allows you to read this threaded comment; however, any edits to it will get removed if the file is opened in a newer version of Excel. Learn more: https://go.microsoft.com/fwlink/?linkid=870924
Comment:
    The Company engages in trading and distribution, or merchandising activities, and part of RMI can be attributable to such activities and is not held for processing. Included in RMI is $4,785 million and $4,242 million attributable to merchandising activities at March 31, 2024, and December 31, 2023, respectively </t>
      </text>
    </comment>
  </commentList>
</comments>
</file>

<file path=xl/sharedStrings.xml><?xml version="1.0" encoding="utf-8"?>
<sst xmlns="http://schemas.openxmlformats.org/spreadsheetml/2006/main" count="444" uniqueCount="166">
  <si>
    <t>main</t>
  </si>
  <si>
    <t>use for scripting</t>
  </si>
  <si>
    <t>xxx</t>
  </si>
  <si>
    <t>Timeframe</t>
  </si>
  <si>
    <t>Q123</t>
  </si>
  <si>
    <t>Q223</t>
  </si>
  <si>
    <t>Q323</t>
  </si>
  <si>
    <t>Q423</t>
  </si>
  <si>
    <t>Q124</t>
  </si>
  <si>
    <t>Q224</t>
  </si>
  <si>
    <t>Q324</t>
  </si>
  <si>
    <t>Q424</t>
  </si>
  <si>
    <t>Sales</t>
  </si>
  <si>
    <t>COGS</t>
  </si>
  <si>
    <t>Gross Profit</t>
  </si>
  <si>
    <t>SGA</t>
  </si>
  <si>
    <t>Interest Income</t>
  </si>
  <si>
    <t>Interest Expense</t>
  </si>
  <si>
    <t>FX</t>
  </si>
  <si>
    <t>Other Income</t>
  </si>
  <si>
    <t>Affiliate Income</t>
  </si>
  <si>
    <t>PreTax Income</t>
  </si>
  <si>
    <t>Taxes</t>
  </si>
  <si>
    <t>NI</t>
  </si>
  <si>
    <t>NI - noncontrolling interest</t>
  </si>
  <si>
    <t>NI - Bunge</t>
  </si>
  <si>
    <t>Oustanding shares - basic</t>
  </si>
  <si>
    <t>Outstanding shares - diluted</t>
  </si>
  <si>
    <t>EPS - basic</t>
  </si>
  <si>
    <t>EPS - diluted</t>
  </si>
  <si>
    <t>Equity</t>
  </si>
  <si>
    <t>Liabs</t>
  </si>
  <si>
    <t>Assets</t>
  </si>
  <si>
    <t>Total current assets</t>
  </si>
  <si>
    <t>Total non-curr assets</t>
  </si>
  <si>
    <t>Total Assets</t>
  </si>
  <si>
    <t>Total current liab</t>
  </si>
  <si>
    <t>Total non-curr liab</t>
  </si>
  <si>
    <t>Total liab</t>
  </si>
  <si>
    <t>Redeemable noncontrol int</t>
  </si>
  <si>
    <t>Total bunge shareholders equity</t>
  </si>
  <si>
    <t>Noncontrolling interest</t>
  </si>
  <si>
    <t>Total equity</t>
  </si>
  <si>
    <t>Liabs+Equity</t>
  </si>
  <si>
    <t>Model NI</t>
  </si>
  <si>
    <t>Reported NI</t>
  </si>
  <si>
    <t>Cash and equiv</t>
  </si>
  <si>
    <t>Trade AR</t>
  </si>
  <si>
    <t>Inventories</t>
  </si>
  <si>
    <t>Other</t>
  </si>
  <si>
    <t>PPE</t>
  </si>
  <si>
    <t>Op Lease assets</t>
  </si>
  <si>
    <t>Goodwill</t>
  </si>
  <si>
    <t>Other intangible</t>
  </si>
  <si>
    <t>Investments in affiliates</t>
  </si>
  <si>
    <t>Deferred inc taxes</t>
  </si>
  <si>
    <t>Short term debt</t>
  </si>
  <si>
    <t>CPLTD</t>
  </si>
  <si>
    <t>Trade AP</t>
  </si>
  <si>
    <t>Curr op lease obligations</t>
  </si>
  <si>
    <t>Other non-curr liab</t>
  </si>
  <si>
    <t>Other curr liab</t>
  </si>
  <si>
    <t>LT Debt</t>
  </si>
  <si>
    <t>Non-curr op lease obligations</t>
  </si>
  <si>
    <t>Other non-curr asset</t>
  </si>
  <si>
    <t>Other curr assets</t>
  </si>
  <si>
    <t>Registered shares</t>
  </si>
  <si>
    <t>Additional paid-in capital</t>
  </si>
  <si>
    <t>Retained earnings</t>
  </si>
  <si>
    <t>Accum other comprehensive Inc</t>
  </si>
  <si>
    <t>Treasury shares</t>
  </si>
  <si>
    <t>FX (gain) loss</t>
  </si>
  <si>
    <t>D&amp;A</t>
  </si>
  <si>
    <t>Share-based compensation</t>
  </si>
  <si>
    <t>Def Income tax</t>
  </si>
  <si>
    <t>Results from affiliates</t>
  </si>
  <si>
    <t>Delta AR</t>
  </si>
  <si>
    <t>Delta inventories</t>
  </si>
  <si>
    <t>Delta secured adv to suppliers</t>
  </si>
  <si>
    <t>Delta AP</t>
  </si>
  <si>
    <t>Delta advances on sales</t>
  </si>
  <si>
    <t>Delta net unrealized losses on deriv</t>
  </si>
  <si>
    <t>Delta margin deposits</t>
  </si>
  <si>
    <t>Delta Recoverable and inc taxes</t>
  </si>
  <si>
    <t>Delta Marketable securities</t>
  </si>
  <si>
    <t>Delta Other</t>
  </si>
  <si>
    <t>CFFO</t>
  </si>
  <si>
    <t>Agribusiness</t>
  </si>
  <si>
    <t>Refined and specialty oils</t>
  </si>
  <si>
    <t>Milling</t>
  </si>
  <si>
    <t>Corp and other</t>
  </si>
  <si>
    <t>Readily marketable Inventories (RMI)</t>
  </si>
  <si>
    <t>Volume (in thousand metric tons)</t>
  </si>
  <si>
    <t>Net sales</t>
  </si>
  <si>
    <t>GP</t>
  </si>
  <si>
    <t>EBIT - noncontrolling interests</t>
  </si>
  <si>
    <t>Other income (expense)</t>
  </si>
  <si>
    <t>Income (loss) affiliates</t>
  </si>
  <si>
    <t>Total Sector Segment EBIT</t>
  </si>
  <si>
    <t>Corportate and other</t>
  </si>
  <si>
    <t>Sugar and bioenergy (non-core)</t>
  </si>
  <si>
    <t>Liquidity ratio</t>
  </si>
  <si>
    <t>WC</t>
  </si>
  <si>
    <t>Impairment charges</t>
  </si>
  <si>
    <t>Competitors:</t>
  </si>
  <si>
    <t>ADM</t>
  </si>
  <si>
    <t>Cargill</t>
  </si>
  <si>
    <t>Louis Dreyfus Group</t>
  </si>
  <si>
    <t>Glencore</t>
  </si>
  <si>
    <t>Wilmar Intl Ltd</t>
  </si>
  <si>
    <t>COFCO International</t>
  </si>
  <si>
    <t>Animal feed manufacturers</t>
  </si>
  <si>
    <t>Livestock producers</t>
  </si>
  <si>
    <t>Wheat and corn millers</t>
  </si>
  <si>
    <t>Other oilseed processors</t>
  </si>
  <si>
    <r>
      <t>Customers:</t>
    </r>
    <r>
      <rPr>
        <u/>
        <sz val="11"/>
        <color theme="1"/>
        <rFont val="Calibri"/>
        <family val="2"/>
        <scheme val="minor"/>
      </rPr>
      <t xml:space="preserve"> Sell Ag commodities and processed commodity products.</t>
    </r>
  </si>
  <si>
    <t>Segments:</t>
  </si>
  <si>
    <t>Other:</t>
  </si>
  <si>
    <t>Financial services and activities</t>
  </si>
  <si>
    <t>Biodiesel</t>
  </si>
  <si>
    <t>Raw materials</t>
  </si>
  <si>
    <t>—In April 2023, Bunge, through our 80% ownership of the Bunge Loders Croklaan ("Loders") joint venture with IOI Corporation Berhad, completed our purchase of a port-based refinery located in Avondale, Louisiana in the United States. The facility has multi-oil refining capabilities and provides a scalable, complementary addition to our North America footprint.</t>
  </si>
  <si>
    <t>Refined and Specialty Oils</t>
  </si>
  <si>
    <t>Corporate and Other</t>
  </si>
  <si>
    <t>Non-core Segment:</t>
  </si>
  <si>
    <t>Sugar and bioenergy segment</t>
  </si>
  <si>
    <t>Employees</t>
  </si>
  <si>
    <t>Properties</t>
  </si>
  <si>
    <t>Acquisitions</t>
  </si>
  <si>
    <t>Convertible pref share dividends</t>
  </si>
  <si>
    <t>NI available to Bunge shareholders</t>
  </si>
  <si>
    <t>Assets held for sale</t>
  </si>
  <si>
    <t>Liabilities held for sale</t>
  </si>
  <si>
    <t>Gain on sale of investments, PPE</t>
  </si>
  <si>
    <t>Delta Beneficial interest in AR</t>
  </si>
  <si>
    <t>Other Intangible assets</t>
  </si>
  <si>
    <t>Trademarks/brands</t>
  </si>
  <si>
    <t>Licenses</t>
  </si>
  <si>
    <t>Port rights</t>
  </si>
  <si>
    <t>Customer relatiohships</t>
  </si>
  <si>
    <t>Patents</t>
  </si>
  <si>
    <t>Trademarks/brands net</t>
  </si>
  <si>
    <t>Licenses net</t>
  </si>
  <si>
    <t>Port rights net</t>
  </si>
  <si>
    <t>Customer relatiohships net</t>
  </si>
  <si>
    <t>Patents net</t>
  </si>
  <si>
    <t>Other net</t>
  </si>
  <si>
    <t>Gross carry amount</t>
  </si>
  <si>
    <t>Accum Amortization</t>
  </si>
  <si>
    <t>Sales by product group</t>
  </si>
  <si>
    <t>Agribusiness processing products</t>
  </si>
  <si>
    <t>Agribusiness merchandising products</t>
  </si>
  <si>
    <t>Refined and specialty oil products</t>
  </si>
  <si>
    <t>Milling products</t>
  </si>
  <si>
    <t>Sugar and bioenergy products</t>
  </si>
  <si>
    <t>Other products</t>
  </si>
  <si>
    <t>Sales by external customer</t>
  </si>
  <si>
    <t>Europe</t>
  </si>
  <si>
    <t>US</t>
  </si>
  <si>
    <t>Asia-pacific</t>
  </si>
  <si>
    <t>Brazil</t>
  </si>
  <si>
    <t>Argentina</t>
  </si>
  <si>
    <t>Canada</t>
  </si>
  <si>
    <t>Rest of world</t>
  </si>
  <si>
    <t>Long-lived asset by location</t>
  </si>
  <si>
    <t>Price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</si>
</sst>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u/>
      <sz val="11"/>
      <color theme="10"/>
      <name val="Calibri"/>
      <family val="2"/>
      <scheme val="minor"/>
    </font>
    <font>
      <b/>
      <sz val="11"/>
      <color theme="1"/>
      <name val="Calibri"/>
      <family val="2"/>
      <scheme val="minor"/>
    </font>
    <font>
      <b/>
      <u/>
      <sz val="11"/>
      <color theme="1"/>
      <name val="Calibri"/>
      <family val="2"/>
      <scheme val="minor"/>
    </font>
    <font>
      <u/>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0">
    <xf numFmtId="0" fontId="0" fillId="0" borderId="0" xfId="0"/>
    <xf numFmtId="0" fontId="1" fillId="0" borderId="0" xfId="1"/>
    <xf numFmtId="0" fontId="2" fillId="0" borderId="0" xfId="0" applyFont="1"/>
    <xf numFmtId="3" fontId="0" fillId="0" borderId="0" xfId="0" applyNumberFormat="1"/>
    <xf numFmtId="3" fontId="2" fillId="0" borderId="0" xfId="0" applyNumberFormat="1" applyFont="1"/>
    <xf numFmtId="14" fontId="0" fillId="0" borderId="0" xfId="0" applyNumberFormat="1"/>
    <xf numFmtId="2" fontId="0" fillId="0" borderId="0" xfId="0" applyNumberFormat="1"/>
    <xf numFmtId="2" fontId="2" fillId="0" borderId="0" xfId="0" applyNumberFormat="1" applyFont="1"/>
    <xf numFmtId="0" fontId="3" fillId="0" borderId="0" xfId="0" applyFont="1"/>
    <xf numFmtId="0" fontId="4" fillId="0" borderId="0" xfId="0" applyFon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17/10/relationships/person" Target="persons/perso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4" Type="http://schemas.openxmlformats.org/officeDocument/2006/relationships/image" Target="../media/image19.png"/></Relationships>
</file>

<file path=xl/drawings/_rels/drawing6.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3.png"/></Relationships>
</file>

<file path=xl/drawings/_rels/drawing7.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_rels/drawing8.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8</xdr:col>
      <xdr:colOff>0</xdr:colOff>
      <xdr:row>20</xdr:row>
      <xdr:rowOff>0</xdr:rowOff>
    </xdr:from>
    <xdr:to>
      <xdr:col>20</xdr:col>
      <xdr:colOff>51181</xdr:colOff>
      <xdr:row>41</xdr:row>
      <xdr:rowOff>120855</xdr:rowOff>
    </xdr:to>
    <xdr:pic>
      <xdr:nvPicPr>
        <xdr:cNvPr id="2" name="Picture 1">
          <a:extLst>
            <a:ext uri="{FF2B5EF4-FFF2-40B4-BE49-F238E27FC236}">
              <a16:creationId xmlns:a16="http://schemas.microsoft.com/office/drawing/2014/main" id="{2E2EDA1C-F657-F41A-8DD7-DD15917CBD9C}"/>
            </a:ext>
          </a:extLst>
        </xdr:cNvPr>
        <xdr:cNvPicPr>
          <a:picLocks noChangeAspect="1"/>
        </xdr:cNvPicPr>
      </xdr:nvPicPr>
      <xdr:blipFill>
        <a:blip xmlns:r="http://schemas.openxmlformats.org/officeDocument/2006/relationships" r:embed="rId1"/>
        <a:stretch>
          <a:fillRect/>
        </a:stretch>
      </xdr:blipFill>
      <xdr:spPr>
        <a:xfrm>
          <a:off x="5518150" y="3683000"/>
          <a:ext cx="7417181" cy="3988005"/>
        </a:xfrm>
        <a:prstGeom prst="rect">
          <a:avLst/>
        </a:prstGeom>
      </xdr:spPr>
    </xdr:pic>
    <xdr:clientData/>
  </xdr:twoCellAnchor>
  <xdr:twoCellAnchor editAs="oneCell">
    <xdr:from>
      <xdr:col>8</xdr:col>
      <xdr:colOff>0</xdr:colOff>
      <xdr:row>41</xdr:row>
      <xdr:rowOff>133350</xdr:rowOff>
    </xdr:from>
    <xdr:to>
      <xdr:col>20</xdr:col>
      <xdr:colOff>108334</xdr:colOff>
      <xdr:row>76</xdr:row>
      <xdr:rowOff>152732</xdr:rowOff>
    </xdr:to>
    <xdr:pic>
      <xdr:nvPicPr>
        <xdr:cNvPr id="3" name="Picture 2">
          <a:extLst>
            <a:ext uri="{FF2B5EF4-FFF2-40B4-BE49-F238E27FC236}">
              <a16:creationId xmlns:a16="http://schemas.microsoft.com/office/drawing/2014/main" id="{35A1E53F-7EAB-8073-978C-6A4BC190D963}"/>
            </a:ext>
          </a:extLst>
        </xdr:cNvPr>
        <xdr:cNvPicPr>
          <a:picLocks noChangeAspect="1"/>
        </xdr:cNvPicPr>
      </xdr:nvPicPr>
      <xdr:blipFill>
        <a:blip xmlns:r="http://schemas.openxmlformats.org/officeDocument/2006/relationships" r:embed="rId2"/>
        <a:stretch>
          <a:fillRect/>
        </a:stretch>
      </xdr:blipFill>
      <xdr:spPr>
        <a:xfrm>
          <a:off x="5518150" y="7683500"/>
          <a:ext cx="7474334" cy="6464632"/>
        </a:xfrm>
        <a:prstGeom prst="rect">
          <a:avLst/>
        </a:prstGeom>
      </xdr:spPr>
    </xdr:pic>
    <xdr:clientData/>
  </xdr:twoCellAnchor>
  <xdr:twoCellAnchor editAs="oneCell">
    <xdr:from>
      <xdr:col>8</xdr:col>
      <xdr:colOff>0</xdr:colOff>
      <xdr:row>77</xdr:row>
      <xdr:rowOff>0</xdr:rowOff>
    </xdr:from>
    <xdr:to>
      <xdr:col>19</xdr:col>
      <xdr:colOff>508373</xdr:colOff>
      <xdr:row>78</xdr:row>
      <xdr:rowOff>127016</xdr:rowOff>
    </xdr:to>
    <xdr:pic>
      <xdr:nvPicPr>
        <xdr:cNvPr id="4" name="Picture 3">
          <a:extLst>
            <a:ext uri="{FF2B5EF4-FFF2-40B4-BE49-F238E27FC236}">
              <a16:creationId xmlns:a16="http://schemas.microsoft.com/office/drawing/2014/main" id="{1767482B-4E27-F0D8-B35F-E79AB7D5E008}"/>
            </a:ext>
          </a:extLst>
        </xdr:cNvPr>
        <xdr:cNvPicPr>
          <a:picLocks noChangeAspect="1"/>
        </xdr:cNvPicPr>
      </xdr:nvPicPr>
      <xdr:blipFill>
        <a:blip xmlns:r="http://schemas.openxmlformats.org/officeDocument/2006/relationships" r:embed="rId3"/>
        <a:stretch>
          <a:fillRect/>
        </a:stretch>
      </xdr:blipFill>
      <xdr:spPr>
        <a:xfrm>
          <a:off x="5518150" y="14179550"/>
          <a:ext cx="7264773" cy="31116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12</xdr:col>
      <xdr:colOff>590925</xdr:colOff>
      <xdr:row>29</xdr:row>
      <xdr:rowOff>51068</xdr:rowOff>
    </xdr:to>
    <xdr:pic>
      <xdr:nvPicPr>
        <xdr:cNvPr id="2" name="Picture 1">
          <a:extLst>
            <a:ext uri="{FF2B5EF4-FFF2-40B4-BE49-F238E27FC236}">
              <a16:creationId xmlns:a16="http://schemas.microsoft.com/office/drawing/2014/main" id="{AD24E2A8-AAD4-8719-3CBB-54434E745512}"/>
            </a:ext>
          </a:extLst>
        </xdr:cNvPr>
        <xdr:cNvPicPr>
          <a:picLocks noChangeAspect="1"/>
        </xdr:cNvPicPr>
      </xdr:nvPicPr>
      <xdr:blipFill>
        <a:blip xmlns:r="http://schemas.openxmlformats.org/officeDocument/2006/relationships" r:embed="rId1"/>
        <a:stretch>
          <a:fillRect/>
        </a:stretch>
      </xdr:blipFill>
      <xdr:spPr>
        <a:xfrm>
          <a:off x="609600" y="184150"/>
          <a:ext cx="7296525" cy="5207268"/>
        </a:xfrm>
        <a:prstGeom prst="rect">
          <a:avLst/>
        </a:prstGeom>
      </xdr:spPr>
    </xdr:pic>
    <xdr:clientData/>
  </xdr:twoCellAnchor>
  <xdr:twoCellAnchor editAs="oneCell">
    <xdr:from>
      <xdr:col>0</xdr:col>
      <xdr:colOff>603250</xdr:colOff>
      <xdr:row>29</xdr:row>
      <xdr:rowOff>127000</xdr:rowOff>
    </xdr:from>
    <xdr:to>
      <xdr:col>13</xdr:col>
      <xdr:colOff>89281</xdr:colOff>
      <xdr:row>33</xdr:row>
      <xdr:rowOff>44484</xdr:rowOff>
    </xdr:to>
    <xdr:pic>
      <xdr:nvPicPr>
        <xdr:cNvPr id="3" name="Picture 2">
          <a:extLst>
            <a:ext uri="{FF2B5EF4-FFF2-40B4-BE49-F238E27FC236}">
              <a16:creationId xmlns:a16="http://schemas.microsoft.com/office/drawing/2014/main" id="{3EA1DCAD-89C8-59A3-FA55-3DAE0ACB46A2}"/>
            </a:ext>
          </a:extLst>
        </xdr:cNvPr>
        <xdr:cNvPicPr>
          <a:picLocks noChangeAspect="1"/>
        </xdr:cNvPicPr>
      </xdr:nvPicPr>
      <xdr:blipFill>
        <a:blip xmlns:r="http://schemas.openxmlformats.org/officeDocument/2006/relationships" r:embed="rId2"/>
        <a:stretch>
          <a:fillRect/>
        </a:stretch>
      </xdr:blipFill>
      <xdr:spPr>
        <a:xfrm>
          <a:off x="603250" y="5467350"/>
          <a:ext cx="7410831" cy="654084"/>
        </a:xfrm>
        <a:prstGeom prst="rect">
          <a:avLst/>
        </a:prstGeom>
      </xdr:spPr>
    </xdr:pic>
    <xdr:clientData/>
  </xdr:twoCellAnchor>
  <xdr:twoCellAnchor editAs="oneCell">
    <xdr:from>
      <xdr:col>1</xdr:col>
      <xdr:colOff>0</xdr:colOff>
      <xdr:row>34</xdr:row>
      <xdr:rowOff>0</xdr:rowOff>
    </xdr:from>
    <xdr:to>
      <xdr:col>13</xdr:col>
      <xdr:colOff>121032</xdr:colOff>
      <xdr:row>63</xdr:row>
      <xdr:rowOff>38376</xdr:rowOff>
    </xdr:to>
    <xdr:pic>
      <xdr:nvPicPr>
        <xdr:cNvPr id="4" name="Picture 3">
          <a:extLst>
            <a:ext uri="{FF2B5EF4-FFF2-40B4-BE49-F238E27FC236}">
              <a16:creationId xmlns:a16="http://schemas.microsoft.com/office/drawing/2014/main" id="{D4CB533C-5CD7-C519-A6AA-E64293B91A69}"/>
            </a:ext>
          </a:extLst>
        </xdr:cNvPr>
        <xdr:cNvPicPr>
          <a:picLocks noChangeAspect="1"/>
        </xdr:cNvPicPr>
      </xdr:nvPicPr>
      <xdr:blipFill>
        <a:blip xmlns:r="http://schemas.openxmlformats.org/officeDocument/2006/relationships" r:embed="rId3"/>
        <a:stretch>
          <a:fillRect/>
        </a:stretch>
      </xdr:blipFill>
      <xdr:spPr>
        <a:xfrm>
          <a:off x="609600" y="6261100"/>
          <a:ext cx="7436232" cy="537872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140083</xdr:colOff>
      <xdr:row>23</xdr:row>
      <xdr:rowOff>12909</xdr:rowOff>
    </xdr:to>
    <xdr:pic>
      <xdr:nvPicPr>
        <xdr:cNvPr id="2" name="Picture 1">
          <a:extLst>
            <a:ext uri="{FF2B5EF4-FFF2-40B4-BE49-F238E27FC236}">
              <a16:creationId xmlns:a16="http://schemas.microsoft.com/office/drawing/2014/main" id="{FF8CDA08-4AFA-5777-CFFC-22BE45B8DD79}"/>
            </a:ext>
          </a:extLst>
        </xdr:cNvPr>
        <xdr:cNvPicPr>
          <a:picLocks noChangeAspect="1"/>
        </xdr:cNvPicPr>
      </xdr:nvPicPr>
      <xdr:blipFill>
        <a:blip xmlns:r="http://schemas.openxmlformats.org/officeDocument/2006/relationships" r:embed="rId1"/>
        <a:stretch>
          <a:fillRect/>
        </a:stretch>
      </xdr:blipFill>
      <xdr:spPr>
        <a:xfrm>
          <a:off x="609600" y="184150"/>
          <a:ext cx="7455283" cy="4064209"/>
        </a:xfrm>
        <a:prstGeom prst="rect">
          <a:avLst/>
        </a:prstGeom>
      </xdr:spPr>
    </xdr:pic>
    <xdr:clientData/>
  </xdr:twoCellAnchor>
  <xdr:twoCellAnchor editAs="oneCell">
    <xdr:from>
      <xdr:col>1</xdr:col>
      <xdr:colOff>0</xdr:colOff>
      <xdr:row>22</xdr:row>
      <xdr:rowOff>177800</xdr:rowOff>
    </xdr:from>
    <xdr:to>
      <xdr:col>13</xdr:col>
      <xdr:colOff>63879</xdr:colOff>
      <xdr:row>44</xdr:row>
      <xdr:rowOff>51002</xdr:rowOff>
    </xdr:to>
    <xdr:pic>
      <xdr:nvPicPr>
        <xdr:cNvPr id="3" name="Picture 2">
          <a:extLst>
            <a:ext uri="{FF2B5EF4-FFF2-40B4-BE49-F238E27FC236}">
              <a16:creationId xmlns:a16="http://schemas.microsoft.com/office/drawing/2014/main" id="{757F596C-6B8B-282D-FE38-B0A40F2811E9}"/>
            </a:ext>
          </a:extLst>
        </xdr:cNvPr>
        <xdr:cNvPicPr>
          <a:picLocks noChangeAspect="1"/>
        </xdr:cNvPicPr>
      </xdr:nvPicPr>
      <xdr:blipFill>
        <a:blip xmlns:r="http://schemas.openxmlformats.org/officeDocument/2006/relationships" r:embed="rId2"/>
        <a:stretch>
          <a:fillRect/>
        </a:stretch>
      </xdr:blipFill>
      <xdr:spPr>
        <a:xfrm>
          <a:off x="609600" y="4229100"/>
          <a:ext cx="7379079" cy="3924502"/>
        </a:xfrm>
        <a:prstGeom prst="rect">
          <a:avLst/>
        </a:prstGeom>
      </xdr:spPr>
    </xdr:pic>
    <xdr:clientData/>
  </xdr:twoCellAnchor>
  <xdr:twoCellAnchor editAs="oneCell">
    <xdr:from>
      <xdr:col>1</xdr:col>
      <xdr:colOff>0</xdr:colOff>
      <xdr:row>45</xdr:row>
      <xdr:rowOff>0</xdr:rowOff>
    </xdr:from>
    <xdr:to>
      <xdr:col>13</xdr:col>
      <xdr:colOff>121032</xdr:colOff>
      <xdr:row>54</xdr:row>
      <xdr:rowOff>63588</xdr:rowOff>
    </xdr:to>
    <xdr:pic>
      <xdr:nvPicPr>
        <xdr:cNvPr id="4" name="Picture 3">
          <a:extLst>
            <a:ext uri="{FF2B5EF4-FFF2-40B4-BE49-F238E27FC236}">
              <a16:creationId xmlns:a16="http://schemas.microsoft.com/office/drawing/2014/main" id="{6F853A1D-2032-1C78-9BA3-0B045B5717B7}"/>
            </a:ext>
          </a:extLst>
        </xdr:cNvPr>
        <xdr:cNvPicPr>
          <a:picLocks noChangeAspect="1"/>
        </xdr:cNvPicPr>
      </xdr:nvPicPr>
      <xdr:blipFill>
        <a:blip xmlns:r="http://schemas.openxmlformats.org/officeDocument/2006/relationships" r:embed="rId3"/>
        <a:stretch>
          <a:fillRect/>
        </a:stretch>
      </xdr:blipFill>
      <xdr:spPr>
        <a:xfrm>
          <a:off x="609600" y="8286750"/>
          <a:ext cx="7436232" cy="172093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13</xdr:col>
      <xdr:colOff>63879</xdr:colOff>
      <xdr:row>14</xdr:row>
      <xdr:rowOff>114</xdr:rowOff>
    </xdr:to>
    <xdr:pic>
      <xdr:nvPicPr>
        <xdr:cNvPr id="2" name="Picture 1">
          <a:extLst>
            <a:ext uri="{FF2B5EF4-FFF2-40B4-BE49-F238E27FC236}">
              <a16:creationId xmlns:a16="http://schemas.microsoft.com/office/drawing/2014/main" id="{66432D84-0970-264F-C6D8-74CCE2CFC07D}"/>
            </a:ext>
          </a:extLst>
        </xdr:cNvPr>
        <xdr:cNvPicPr>
          <a:picLocks noChangeAspect="1"/>
        </xdr:cNvPicPr>
      </xdr:nvPicPr>
      <xdr:blipFill>
        <a:blip xmlns:r="http://schemas.openxmlformats.org/officeDocument/2006/relationships" r:embed="rId1"/>
        <a:stretch>
          <a:fillRect/>
        </a:stretch>
      </xdr:blipFill>
      <xdr:spPr>
        <a:xfrm>
          <a:off x="609600" y="368300"/>
          <a:ext cx="7379079" cy="2209914"/>
        </a:xfrm>
        <a:prstGeom prst="rect">
          <a:avLst/>
        </a:prstGeom>
      </xdr:spPr>
    </xdr:pic>
    <xdr:clientData/>
  </xdr:twoCellAnchor>
  <xdr:twoCellAnchor editAs="oneCell">
    <xdr:from>
      <xdr:col>0</xdr:col>
      <xdr:colOff>590550</xdr:colOff>
      <xdr:row>14</xdr:row>
      <xdr:rowOff>6350</xdr:rowOff>
    </xdr:from>
    <xdr:to>
      <xdr:col>13</xdr:col>
      <xdr:colOff>82931</xdr:colOff>
      <xdr:row>33</xdr:row>
      <xdr:rowOff>114485</xdr:rowOff>
    </xdr:to>
    <xdr:pic>
      <xdr:nvPicPr>
        <xdr:cNvPr id="3" name="Picture 2">
          <a:extLst>
            <a:ext uri="{FF2B5EF4-FFF2-40B4-BE49-F238E27FC236}">
              <a16:creationId xmlns:a16="http://schemas.microsoft.com/office/drawing/2014/main" id="{487E080F-021F-18B3-CBD5-3435F9393227}"/>
            </a:ext>
          </a:extLst>
        </xdr:cNvPr>
        <xdr:cNvPicPr>
          <a:picLocks noChangeAspect="1"/>
        </xdr:cNvPicPr>
      </xdr:nvPicPr>
      <xdr:blipFill>
        <a:blip xmlns:r="http://schemas.openxmlformats.org/officeDocument/2006/relationships" r:embed="rId2"/>
        <a:stretch>
          <a:fillRect/>
        </a:stretch>
      </xdr:blipFill>
      <xdr:spPr>
        <a:xfrm>
          <a:off x="590550" y="2584450"/>
          <a:ext cx="7417181" cy="3606985"/>
        </a:xfrm>
        <a:prstGeom prst="rect">
          <a:avLst/>
        </a:prstGeom>
      </xdr:spPr>
    </xdr:pic>
    <xdr:clientData/>
  </xdr:twoCellAnchor>
  <xdr:twoCellAnchor editAs="oneCell">
    <xdr:from>
      <xdr:col>1</xdr:col>
      <xdr:colOff>0</xdr:colOff>
      <xdr:row>36</xdr:row>
      <xdr:rowOff>0</xdr:rowOff>
    </xdr:from>
    <xdr:to>
      <xdr:col>13</xdr:col>
      <xdr:colOff>121032</xdr:colOff>
      <xdr:row>53</xdr:row>
      <xdr:rowOff>114467</xdr:rowOff>
    </xdr:to>
    <xdr:pic>
      <xdr:nvPicPr>
        <xdr:cNvPr id="4" name="Picture 3">
          <a:extLst>
            <a:ext uri="{FF2B5EF4-FFF2-40B4-BE49-F238E27FC236}">
              <a16:creationId xmlns:a16="http://schemas.microsoft.com/office/drawing/2014/main" id="{DA776DBB-9BCD-6995-CB04-3B8B5E8CE2C8}"/>
            </a:ext>
          </a:extLst>
        </xdr:cNvPr>
        <xdr:cNvPicPr>
          <a:picLocks noChangeAspect="1"/>
        </xdr:cNvPicPr>
      </xdr:nvPicPr>
      <xdr:blipFill>
        <a:blip xmlns:r="http://schemas.openxmlformats.org/officeDocument/2006/relationships" r:embed="rId3"/>
        <a:stretch>
          <a:fillRect/>
        </a:stretch>
      </xdr:blipFill>
      <xdr:spPr>
        <a:xfrm>
          <a:off x="609600" y="6629400"/>
          <a:ext cx="7436232" cy="3245017"/>
        </a:xfrm>
        <a:prstGeom prst="rect">
          <a:avLst/>
        </a:prstGeom>
      </xdr:spPr>
    </xdr:pic>
    <xdr:clientData/>
  </xdr:twoCellAnchor>
  <xdr:twoCellAnchor editAs="oneCell">
    <xdr:from>
      <xdr:col>1</xdr:col>
      <xdr:colOff>0</xdr:colOff>
      <xdr:row>55</xdr:row>
      <xdr:rowOff>0</xdr:rowOff>
    </xdr:from>
    <xdr:to>
      <xdr:col>13</xdr:col>
      <xdr:colOff>178185</xdr:colOff>
      <xdr:row>77</xdr:row>
      <xdr:rowOff>158966</xdr:rowOff>
    </xdr:to>
    <xdr:pic>
      <xdr:nvPicPr>
        <xdr:cNvPr id="5" name="Picture 4">
          <a:extLst>
            <a:ext uri="{FF2B5EF4-FFF2-40B4-BE49-F238E27FC236}">
              <a16:creationId xmlns:a16="http://schemas.microsoft.com/office/drawing/2014/main" id="{192D699D-4CFD-A899-5F86-5084029FDE9E}"/>
            </a:ext>
          </a:extLst>
        </xdr:cNvPr>
        <xdr:cNvPicPr>
          <a:picLocks noChangeAspect="1"/>
        </xdr:cNvPicPr>
      </xdr:nvPicPr>
      <xdr:blipFill>
        <a:blip xmlns:r="http://schemas.openxmlformats.org/officeDocument/2006/relationships" r:embed="rId4"/>
        <a:stretch>
          <a:fillRect/>
        </a:stretch>
      </xdr:blipFill>
      <xdr:spPr>
        <a:xfrm>
          <a:off x="609600" y="10128250"/>
          <a:ext cx="7493385" cy="4210266"/>
        </a:xfrm>
        <a:prstGeom prst="rect">
          <a:avLst/>
        </a:prstGeom>
      </xdr:spPr>
    </xdr:pic>
    <xdr:clientData/>
  </xdr:twoCellAnchor>
  <xdr:twoCellAnchor editAs="oneCell">
    <xdr:from>
      <xdr:col>1</xdr:col>
      <xdr:colOff>0</xdr:colOff>
      <xdr:row>55</xdr:row>
      <xdr:rowOff>0</xdr:rowOff>
    </xdr:from>
    <xdr:to>
      <xdr:col>13</xdr:col>
      <xdr:colOff>216287</xdr:colOff>
      <xdr:row>90</xdr:row>
      <xdr:rowOff>146389</xdr:rowOff>
    </xdr:to>
    <xdr:pic>
      <xdr:nvPicPr>
        <xdr:cNvPr id="8" name="Picture 7">
          <a:extLst>
            <a:ext uri="{FF2B5EF4-FFF2-40B4-BE49-F238E27FC236}">
              <a16:creationId xmlns:a16="http://schemas.microsoft.com/office/drawing/2014/main" id="{98300B15-5A4D-ED8E-1A00-82FC7744BD88}"/>
            </a:ext>
          </a:extLst>
        </xdr:cNvPr>
        <xdr:cNvPicPr>
          <a:picLocks noChangeAspect="1"/>
        </xdr:cNvPicPr>
      </xdr:nvPicPr>
      <xdr:blipFill>
        <a:blip xmlns:r="http://schemas.openxmlformats.org/officeDocument/2006/relationships" r:embed="rId5"/>
        <a:stretch>
          <a:fillRect/>
        </a:stretch>
      </xdr:blipFill>
      <xdr:spPr>
        <a:xfrm>
          <a:off x="609600" y="10128250"/>
          <a:ext cx="7531487" cy="6591639"/>
        </a:xfrm>
        <a:prstGeom prst="rect">
          <a:avLst/>
        </a:prstGeom>
      </xdr:spPr>
    </xdr:pic>
    <xdr:clientData/>
  </xdr:twoCellAnchor>
  <xdr:twoCellAnchor editAs="oneCell">
    <xdr:from>
      <xdr:col>1</xdr:col>
      <xdr:colOff>0</xdr:colOff>
      <xdr:row>91</xdr:row>
      <xdr:rowOff>0</xdr:rowOff>
    </xdr:from>
    <xdr:to>
      <xdr:col>13</xdr:col>
      <xdr:colOff>190886</xdr:colOff>
      <xdr:row>102</xdr:row>
      <xdr:rowOff>57257</xdr:rowOff>
    </xdr:to>
    <xdr:pic>
      <xdr:nvPicPr>
        <xdr:cNvPr id="9" name="Picture 8">
          <a:extLst>
            <a:ext uri="{FF2B5EF4-FFF2-40B4-BE49-F238E27FC236}">
              <a16:creationId xmlns:a16="http://schemas.microsoft.com/office/drawing/2014/main" id="{F537B6C4-C028-400B-90CE-BA1E0E4A7CC7}"/>
            </a:ext>
          </a:extLst>
        </xdr:cNvPr>
        <xdr:cNvPicPr>
          <a:picLocks noChangeAspect="1"/>
        </xdr:cNvPicPr>
      </xdr:nvPicPr>
      <xdr:blipFill>
        <a:blip xmlns:r="http://schemas.openxmlformats.org/officeDocument/2006/relationships" r:embed="rId6"/>
        <a:stretch>
          <a:fillRect/>
        </a:stretch>
      </xdr:blipFill>
      <xdr:spPr>
        <a:xfrm>
          <a:off x="609600" y="16757650"/>
          <a:ext cx="7506086" cy="208290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57529</xdr:colOff>
      <xdr:row>16</xdr:row>
      <xdr:rowOff>19193</xdr:rowOff>
    </xdr:to>
    <xdr:pic>
      <xdr:nvPicPr>
        <xdr:cNvPr id="2" name="Picture 1">
          <a:extLst>
            <a:ext uri="{FF2B5EF4-FFF2-40B4-BE49-F238E27FC236}">
              <a16:creationId xmlns:a16="http://schemas.microsoft.com/office/drawing/2014/main" id="{8F8CE3F4-9CBB-E8DD-ABBC-21D0E9DD157E}"/>
            </a:ext>
          </a:extLst>
        </xdr:cNvPr>
        <xdr:cNvPicPr>
          <a:picLocks noChangeAspect="1"/>
        </xdr:cNvPicPr>
      </xdr:nvPicPr>
      <xdr:blipFill>
        <a:blip xmlns:r="http://schemas.openxmlformats.org/officeDocument/2006/relationships" r:embed="rId1"/>
        <a:stretch>
          <a:fillRect/>
        </a:stretch>
      </xdr:blipFill>
      <xdr:spPr>
        <a:xfrm>
          <a:off x="609600" y="184150"/>
          <a:ext cx="7372729" cy="2781443"/>
        </a:xfrm>
        <a:prstGeom prst="rect">
          <a:avLst/>
        </a:prstGeom>
      </xdr:spPr>
    </xdr:pic>
    <xdr:clientData/>
  </xdr:twoCellAnchor>
  <xdr:twoCellAnchor editAs="oneCell">
    <xdr:from>
      <xdr:col>0</xdr:col>
      <xdr:colOff>577850</xdr:colOff>
      <xdr:row>16</xdr:row>
      <xdr:rowOff>12700</xdr:rowOff>
    </xdr:from>
    <xdr:to>
      <xdr:col>12</xdr:col>
      <xdr:colOff>603627</xdr:colOff>
      <xdr:row>39</xdr:row>
      <xdr:rowOff>82771</xdr:rowOff>
    </xdr:to>
    <xdr:pic>
      <xdr:nvPicPr>
        <xdr:cNvPr id="3" name="Picture 2">
          <a:extLst>
            <a:ext uri="{FF2B5EF4-FFF2-40B4-BE49-F238E27FC236}">
              <a16:creationId xmlns:a16="http://schemas.microsoft.com/office/drawing/2014/main" id="{F780848D-CFDC-4F7A-A73D-13742AAEB77F}"/>
            </a:ext>
          </a:extLst>
        </xdr:cNvPr>
        <xdr:cNvPicPr>
          <a:picLocks noChangeAspect="1"/>
        </xdr:cNvPicPr>
      </xdr:nvPicPr>
      <xdr:blipFill>
        <a:blip xmlns:r="http://schemas.openxmlformats.org/officeDocument/2006/relationships" r:embed="rId2"/>
        <a:stretch>
          <a:fillRect/>
        </a:stretch>
      </xdr:blipFill>
      <xdr:spPr>
        <a:xfrm>
          <a:off x="577850" y="2959100"/>
          <a:ext cx="7340977" cy="4305521"/>
        </a:xfrm>
        <a:prstGeom prst="rect">
          <a:avLst/>
        </a:prstGeom>
      </xdr:spPr>
    </xdr:pic>
    <xdr:clientData/>
  </xdr:twoCellAnchor>
  <xdr:twoCellAnchor editAs="oneCell">
    <xdr:from>
      <xdr:col>1</xdr:col>
      <xdr:colOff>0</xdr:colOff>
      <xdr:row>41</xdr:row>
      <xdr:rowOff>0</xdr:rowOff>
    </xdr:from>
    <xdr:to>
      <xdr:col>13</xdr:col>
      <xdr:colOff>44828</xdr:colOff>
      <xdr:row>47</xdr:row>
      <xdr:rowOff>44509</xdr:rowOff>
    </xdr:to>
    <xdr:pic>
      <xdr:nvPicPr>
        <xdr:cNvPr id="4" name="Picture 3">
          <a:extLst>
            <a:ext uri="{FF2B5EF4-FFF2-40B4-BE49-F238E27FC236}">
              <a16:creationId xmlns:a16="http://schemas.microsoft.com/office/drawing/2014/main" id="{8682F7F7-1FF9-8304-23A5-806ACBD971FC}"/>
            </a:ext>
          </a:extLst>
        </xdr:cNvPr>
        <xdr:cNvPicPr>
          <a:picLocks noChangeAspect="1"/>
        </xdr:cNvPicPr>
      </xdr:nvPicPr>
      <xdr:blipFill>
        <a:blip xmlns:r="http://schemas.openxmlformats.org/officeDocument/2006/relationships" r:embed="rId3"/>
        <a:stretch>
          <a:fillRect/>
        </a:stretch>
      </xdr:blipFill>
      <xdr:spPr>
        <a:xfrm>
          <a:off x="609600" y="7550150"/>
          <a:ext cx="7360028" cy="1149409"/>
        </a:xfrm>
        <a:prstGeom prst="rect">
          <a:avLst/>
        </a:prstGeom>
      </xdr:spPr>
    </xdr:pic>
    <xdr:clientData/>
  </xdr:twoCellAnchor>
  <xdr:twoCellAnchor editAs="oneCell">
    <xdr:from>
      <xdr:col>1</xdr:col>
      <xdr:colOff>0</xdr:colOff>
      <xdr:row>48</xdr:row>
      <xdr:rowOff>0</xdr:rowOff>
    </xdr:from>
    <xdr:to>
      <xdr:col>13</xdr:col>
      <xdr:colOff>133733</xdr:colOff>
      <xdr:row>71</xdr:row>
      <xdr:rowOff>89122</xdr:rowOff>
    </xdr:to>
    <xdr:pic>
      <xdr:nvPicPr>
        <xdr:cNvPr id="5" name="Picture 4">
          <a:extLst>
            <a:ext uri="{FF2B5EF4-FFF2-40B4-BE49-F238E27FC236}">
              <a16:creationId xmlns:a16="http://schemas.microsoft.com/office/drawing/2014/main" id="{0D9B2EFC-47FD-57D3-B959-BE7BABB160EC}"/>
            </a:ext>
          </a:extLst>
        </xdr:cNvPr>
        <xdr:cNvPicPr>
          <a:picLocks noChangeAspect="1"/>
        </xdr:cNvPicPr>
      </xdr:nvPicPr>
      <xdr:blipFill>
        <a:blip xmlns:r="http://schemas.openxmlformats.org/officeDocument/2006/relationships" r:embed="rId4"/>
        <a:stretch>
          <a:fillRect/>
        </a:stretch>
      </xdr:blipFill>
      <xdr:spPr>
        <a:xfrm>
          <a:off x="609600" y="8839200"/>
          <a:ext cx="7448933" cy="432457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38478</xdr:colOff>
      <xdr:row>12</xdr:row>
      <xdr:rowOff>104</xdr:rowOff>
    </xdr:to>
    <xdr:pic>
      <xdr:nvPicPr>
        <xdr:cNvPr id="2" name="Picture 1">
          <a:extLst>
            <a:ext uri="{FF2B5EF4-FFF2-40B4-BE49-F238E27FC236}">
              <a16:creationId xmlns:a16="http://schemas.microsoft.com/office/drawing/2014/main" id="{1DB5BB31-414A-83E2-8B70-EA8864DCD68D}"/>
            </a:ext>
          </a:extLst>
        </xdr:cNvPr>
        <xdr:cNvPicPr>
          <a:picLocks noChangeAspect="1"/>
        </xdr:cNvPicPr>
      </xdr:nvPicPr>
      <xdr:blipFill>
        <a:blip xmlns:r="http://schemas.openxmlformats.org/officeDocument/2006/relationships" r:embed="rId1"/>
        <a:stretch>
          <a:fillRect/>
        </a:stretch>
      </xdr:blipFill>
      <xdr:spPr>
        <a:xfrm>
          <a:off x="609600" y="184150"/>
          <a:ext cx="7353678" cy="2025754"/>
        </a:xfrm>
        <a:prstGeom prst="rect">
          <a:avLst/>
        </a:prstGeom>
      </xdr:spPr>
    </xdr:pic>
    <xdr:clientData/>
  </xdr:twoCellAnchor>
  <xdr:twoCellAnchor editAs="oneCell">
    <xdr:from>
      <xdr:col>0</xdr:col>
      <xdr:colOff>565150</xdr:colOff>
      <xdr:row>11</xdr:row>
      <xdr:rowOff>177800</xdr:rowOff>
    </xdr:from>
    <xdr:to>
      <xdr:col>13</xdr:col>
      <xdr:colOff>152786</xdr:colOff>
      <xdr:row>20</xdr:row>
      <xdr:rowOff>101681</xdr:rowOff>
    </xdr:to>
    <xdr:pic>
      <xdr:nvPicPr>
        <xdr:cNvPr id="3" name="Picture 2">
          <a:extLst>
            <a:ext uri="{FF2B5EF4-FFF2-40B4-BE49-F238E27FC236}">
              <a16:creationId xmlns:a16="http://schemas.microsoft.com/office/drawing/2014/main" id="{FC696049-E8E6-9E2E-0894-13CBD50692E1}"/>
            </a:ext>
          </a:extLst>
        </xdr:cNvPr>
        <xdr:cNvPicPr>
          <a:picLocks noChangeAspect="1"/>
        </xdr:cNvPicPr>
      </xdr:nvPicPr>
      <xdr:blipFill>
        <a:blip xmlns:r="http://schemas.openxmlformats.org/officeDocument/2006/relationships" r:embed="rId2"/>
        <a:stretch>
          <a:fillRect/>
        </a:stretch>
      </xdr:blipFill>
      <xdr:spPr>
        <a:xfrm>
          <a:off x="565150" y="2203450"/>
          <a:ext cx="7512436" cy="1581231"/>
        </a:xfrm>
        <a:prstGeom prst="rect">
          <a:avLst/>
        </a:prstGeom>
      </xdr:spPr>
    </xdr:pic>
    <xdr:clientData/>
  </xdr:twoCellAnchor>
  <xdr:twoCellAnchor editAs="oneCell">
    <xdr:from>
      <xdr:col>1</xdr:col>
      <xdr:colOff>0</xdr:colOff>
      <xdr:row>22</xdr:row>
      <xdr:rowOff>0</xdr:rowOff>
    </xdr:from>
    <xdr:to>
      <xdr:col>13</xdr:col>
      <xdr:colOff>6726</xdr:colOff>
      <xdr:row>27</xdr:row>
      <xdr:rowOff>165156</xdr:rowOff>
    </xdr:to>
    <xdr:pic>
      <xdr:nvPicPr>
        <xdr:cNvPr id="4" name="Picture 3">
          <a:extLst>
            <a:ext uri="{FF2B5EF4-FFF2-40B4-BE49-F238E27FC236}">
              <a16:creationId xmlns:a16="http://schemas.microsoft.com/office/drawing/2014/main" id="{4E662805-382C-7BF8-475E-A70AF9C9FDD0}"/>
            </a:ext>
          </a:extLst>
        </xdr:cNvPr>
        <xdr:cNvPicPr>
          <a:picLocks noChangeAspect="1"/>
        </xdr:cNvPicPr>
      </xdr:nvPicPr>
      <xdr:blipFill>
        <a:blip xmlns:r="http://schemas.openxmlformats.org/officeDocument/2006/relationships" r:embed="rId3"/>
        <a:stretch>
          <a:fillRect/>
        </a:stretch>
      </xdr:blipFill>
      <xdr:spPr>
        <a:xfrm>
          <a:off x="609600" y="4051300"/>
          <a:ext cx="7321926" cy="1085906"/>
        </a:xfrm>
        <a:prstGeom prst="rect">
          <a:avLst/>
        </a:prstGeom>
      </xdr:spPr>
    </xdr:pic>
    <xdr:clientData/>
  </xdr:twoCellAnchor>
  <xdr:twoCellAnchor editAs="oneCell">
    <xdr:from>
      <xdr:col>1</xdr:col>
      <xdr:colOff>0</xdr:colOff>
      <xdr:row>29</xdr:row>
      <xdr:rowOff>0</xdr:rowOff>
    </xdr:from>
    <xdr:to>
      <xdr:col>13</xdr:col>
      <xdr:colOff>57529</xdr:colOff>
      <xdr:row>51</xdr:row>
      <xdr:rowOff>6559</xdr:rowOff>
    </xdr:to>
    <xdr:pic>
      <xdr:nvPicPr>
        <xdr:cNvPr id="5" name="Picture 4">
          <a:extLst>
            <a:ext uri="{FF2B5EF4-FFF2-40B4-BE49-F238E27FC236}">
              <a16:creationId xmlns:a16="http://schemas.microsoft.com/office/drawing/2014/main" id="{C7C0AB7E-9D7F-7FC5-58FD-AAB50519FF44}"/>
            </a:ext>
          </a:extLst>
        </xdr:cNvPr>
        <xdr:cNvPicPr>
          <a:picLocks noChangeAspect="1"/>
        </xdr:cNvPicPr>
      </xdr:nvPicPr>
      <xdr:blipFill>
        <a:blip xmlns:r="http://schemas.openxmlformats.org/officeDocument/2006/relationships" r:embed="rId4"/>
        <a:stretch>
          <a:fillRect/>
        </a:stretch>
      </xdr:blipFill>
      <xdr:spPr>
        <a:xfrm>
          <a:off x="609600" y="5340350"/>
          <a:ext cx="7372729" cy="405785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133733</xdr:colOff>
      <xdr:row>4</xdr:row>
      <xdr:rowOff>158787</xdr:rowOff>
    </xdr:to>
    <xdr:pic>
      <xdr:nvPicPr>
        <xdr:cNvPr id="2" name="Picture 1">
          <a:extLst>
            <a:ext uri="{FF2B5EF4-FFF2-40B4-BE49-F238E27FC236}">
              <a16:creationId xmlns:a16="http://schemas.microsoft.com/office/drawing/2014/main" id="{78924673-2E9E-26EE-AACF-3546A29943D3}"/>
            </a:ext>
          </a:extLst>
        </xdr:cNvPr>
        <xdr:cNvPicPr>
          <a:picLocks noChangeAspect="1"/>
        </xdr:cNvPicPr>
      </xdr:nvPicPr>
      <xdr:blipFill>
        <a:blip xmlns:r="http://schemas.openxmlformats.org/officeDocument/2006/relationships" r:embed="rId1"/>
        <a:stretch>
          <a:fillRect/>
        </a:stretch>
      </xdr:blipFill>
      <xdr:spPr>
        <a:xfrm>
          <a:off x="609600" y="184150"/>
          <a:ext cx="7448933" cy="711237"/>
        </a:xfrm>
        <a:prstGeom prst="rect">
          <a:avLst/>
        </a:prstGeom>
      </xdr:spPr>
    </xdr:pic>
    <xdr:clientData/>
  </xdr:twoCellAnchor>
  <xdr:twoCellAnchor editAs="oneCell">
    <xdr:from>
      <xdr:col>1</xdr:col>
      <xdr:colOff>0</xdr:colOff>
      <xdr:row>6</xdr:row>
      <xdr:rowOff>0</xdr:rowOff>
    </xdr:from>
    <xdr:to>
      <xdr:col>13</xdr:col>
      <xdr:colOff>101981</xdr:colOff>
      <xdr:row>17</xdr:row>
      <xdr:rowOff>38206</xdr:rowOff>
    </xdr:to>
    <xdr:pic>
      <xdr:nvPicPr>
        <xdr:cNvPr id="3" name="Picture 2">
          <a:extLst>
            <a:ext uri="{FF2B5EF4-FFF2-40B4-BE49-F238E27FC236}">
              <a16:creationId xmlns:a16="http://schemas.microsoft.com/office/drawing/2014/main" id="{8D2C12E4-2041-0D39-44A1-C5E4D1D376B9}"/>
            </a:ext>
          </a:extLst>
        </xdr:cNvPr>
        <xdr:cNvPicPr>
          <a:picLocks noChangeAspect="1"/>
        </xdr:cNvPicPr>
      </xdr:nvPicPr>
      <xdr:blipFill>
        <a:blip xmlns:r="http://schemas.openxmlformats.org/officeDocument/2006/relationships" r:embed="rId2"/>
        <a:stretch>
          <a:fillRect/>
        </a:stretch>
      </xdr:blipFill>
      <xdr:spPr>
        <a:xfrm>
          <a:off x="609600" y="1104900"/>
          <a:ext cx="7417181" cy="2063856"/>
        </a:xfrm>
        <a:prstGeom prst="rect">
          <a:avLst/>
        </a:prstGeom>
      </xdr:spPr>
    </xdr:pic>
    <xdr:clientData/>
  </xdr:twoCellAnchor>
  <xdr:twoCellAnchor editAs="oneCell">
    <xdr:from>
      <xdr:col>1</xdr:col>
      <xdr:colOff>0</xdr:colOff>
      <xdr:row>18</xdr:row>
      <xdr:rowOff>0</xdr:rowOff>
    </xdr:from>
    <xdr:to>
      <xdr:col>13</xdr:col>
      <xdr:colOff>57529</xdr:colOff>
      <xdr:row>26</xdr:row>
      <xdr:rowOff>69929</xdr:rowOff>
    </xdr:to>
    <xdr:pic>
      <xdr:nvPicPr>
        <xdr:cNvPr id="4" name="Picture 3">
          <a:extLst>
            <a:ext uri="{FF2B5EF4-FFF2-40B4-BE49-F238E27FC236}">
              <a16:creationId xmlns:a16="http://schemas.microsoft.com/office/drawing/2014/main" id="{86823271-CACA-F104-5683-9680CDB83FEA}"/>
            </a:ext>
          </a:extLst>
        </xdr:cNvPr>
        <xdr:cNvPicPr>
          <a:picLocks noChangeAspect="1"/>
        </xdr:cNvPicPr>
      </xdr:nvPicPr>
      <xdr:blipFill>
        <a:blip xmlns:r="http://schemas.openxmlformats.org/officeDocument/2006/relationships" r:embed="rId3"/>
        <a:stretch>
          <a:fillRect/>
        </a:stretch>
      </xdr:blipFill>
      <xdr:spPr>
        <a:xfrm>
          <a:off x="609600" y="3314700"/>
          <a:ext cx="7372729" cy="154312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190886</xdr:colOff>
      <xdr:row>21</xdr:row>
      <xdr:rowOff>127196</xdr:rowOff>
    </xdr:to>
    <xdr:pic>
      <xdr:nvPicPr>
        <xdr:cNvPr id="2" name="Picture 1">
          <a:extLst>
            <a:ext uri="{FF2B5EF4-FFF2-40B4-BE49-F238E27FC236}">
              <a16:creationId xmlns:a16="http://schemas.microsoft.com/office/drawing/2014/main" id="{313D9FA1-7CD7-E4C8-1A67-582CE848E049}"/>
            </a:ext>
          </a:extLst>
        </xdr:cNvPr>
        <xdr:cNvPicPr>
          <a:picLocks noChangeAspect="1"/>
        </xdr:cNvPicPr>
      </xdr:nvPicPr>
      <xdr:blipFill>
        <a:blip xmlns:r="http://schemas.openxmlformats.org/officeDocument/2006/relationships" r:embed="rId1"/>
        <a:stretch>
          <a:fillRect/>
        </a:stretch>
      </xdr:blipFill>
      <xdr:spPr>
        <a:xfrm>
          <a:off x="609600" y="184150"/>
          <a:ext cx="7506086" cy="3810196"/>
        </a:xfrm>
        <a:prstGeom prst="rect">
          <a:avLst/>
        </a:prstGeom>
      </xdr:spPr>
    </xdr:pic>
    <xdr:clientData/>
  </xdr:twoCellAnchor>
  <xdr:twoCellAnchor editAs="oneCell">
    <xdr:from>
      <xdr:col>1</xdr:col>
      <xdr:colOff>0</xdr:colOff>
      <xdr:row>23</xdr:row>
      <xdr:rowOff>0</xdr:rowOff>
    </xdr:from>
    <xdr:to>
      <xdr:col>13</xdr:col>
      <xdr:colOff>44828</xdr:colOff>
      <xdr:row>36</xdr:row>
      <xdr:rowOff>146181</xdr:rowOff>
    </xdr:to>
    <xdr:pic>
      <xdr:nvPicPr>
        <xdr:cNvPr id="3" name="Picture 2">
          <a:extLst>
            <a:ext uri="{FF2B5EF4-FFF2-40B4-BE49-F238E27FC236}">
              <a16:creationId xmlns:a16="http://schemas.microsoft.com/office/drawing/2014/main" id="{7CD20304-4023-F113-D1B0-9B19BCF05A3B}"/>
            </a:ext>
          </a:extLst>
        </xdr:cNvPr>
        <xdr:cNvPicPr>
          <a:picLocks noChangeAspect="1"/>
        </xdr:cNvPicPr>
      </xdr:nvPicPr>
      <xdr:blipFill>
        <a:blip xmlns:r="http://schemas.openxmlformats.org/officeDocument/2006/relationships" r:embed="rId2"/>
        <a:stretch>
          <a:fillRect/>
        </a:stretch>
      </xdr:blipFill>
      <xdr:spPr>
        <a:xfrm>
          <a:off x="609600" y="4235450"/>
          <a:ext cx="7360028" cy="2540131"/>
        </a:xfrm>
        <a:prstGeom prst="rect">
          <a:avLst/>
        </a:prstGeom>
      </xdr:spPr>
    </xdr:pic>
    <xdr:clientData/>
  </xdr:twoCellAnchor>
  <xdr:twoCellAnchor editAs="oneCell">
    <xdr:from>
      <xdr:col>1</xdr:col>
      <xdr:colOff>0</xdr:colOff>
      <xdr:row>38</xdr:row>
      <xdr:rowOff>0</xdr:rowOff>
    </xdr:from>
    <xdr:to>
      <xdr:col>13</xdr:col>
      <xdr:colOff>57529</xdr:colOff>
      <xdr:row>55</xdr:row>
      <xdr:rowOff>133518</xdr:rowOff>
    </xdr:to>
    <xdr:pic>
      <xdr:nvPicPr>
        <xdr:cNvPr id="4" name="Picture 3">
          <a:extLst>
            <a:ext uri="{FF2B5EF4-FFF2-40B4-BE49-F238E27FC236}">
              <a16:creationId xmlns:a16="http://schemas.microsoft.com/office/drawing/2014/main" id="{69F9E311-BA4C-9849-ECBB-C7AF5B12347D}"/>
            </a:ext>
          </a:extLst>
        </xdr:cNvPr>
        <xdr:cNvPicPr>
          <a:picLocks noChangeAspect="1"/>
        </xdr:cNvPicPr>
      </xdr:nvPicPr>
      <xdr:blipFill>
        <a:blip xmlns:r="http://schemas.openxmlformats.org/officeDocument/2006/relationships" r:embed="rId3"/>
        <a:stretch>
          <a:fillRect/>
        </a:stretch>
      </xdr:blipFill>
      <xdr:spPr>
        <a:xfrm>
          <a:off x="609600" y="6997700"/>
          <a:ext cx="7372729" cy="3264068"/>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orey Christner" id="{A8C97A42-703B-4C69-A255-37B78CC8E215}" userId="32906c935fa0eb4f"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E12" dT="2025-01-20T17:30:49.75" personId="{A8C97A42-703B-4C69-A255-37B78CC8E215}" id="{F90B7CCE-F478-4C4A-8BCD-6031C4633226}">
    <text xml:space="preserve">We offer various financial services, principally trade structured finance and financial risk management services, to customers and other third parties. Our trade structured finance operations primarily leverage our international trade flows to generate trade finance derived liquidity in emerging markets for third parties. Our financial risk management services include structuring and marketing risk management products to enable agricultural producers and end users of commodities to manage commodity price risk exposures. We also engage in foreign exchange and other financial instrument trading via our financial services business. Additionally, we provide financing services to farmers, primarily in Brazil, from whom we purchase soybeans and other agricultural commodities. Our farmer financing activities are an integral part of our grain and oilseed origination activities as they help assure the annual supply of raw materials for our Brazilian agribusiness operations. </text>
  </threadedComment>
  <threadedComment ref="E13" dT="2025-01-20T17:31:05.11" personId="{A8C97A42-703B-4C69-A255-37B78CC8E215}" id="{2BA44E43-A567-4178-B345-DB6EFDB0BA5D}">
    <text xml:space="preserve">We own and operate conventional biodiesel facilities in Europe and Brazil and have equity method investments in conventional biodiesel producers in Europe and Argentina. This business is complementary to our core Agribusiness operations as in each case we supply some of the raw materials (refined or partially refined vegetable oil) used in their production processes. 
</text>
  </threadedComment>
  <threadedComment ref="E14" dT="2025-01-20T17:31:17.25" personId="{A8C97A42-703B-4C69-A255-37B78CC8E215}" id="{F568AF03-862A-44CB-BAF9-30347F8CF93E}">
    <text xml:space="preserve">We purchase oilseeds and grains either directly from farmers or indirectly through intermediaries. Although the availability and price of agricultural commodities may, in any given year, be affected by unpredictable factors such as weather, government programs and policies, and farmer planting and selling decisions, our operations in major crop growing regions have enabled us to source adequate raw materials for our operational needs. </text>
  </threadedComment>
</ThreadedComments>
</file>

<file path=xl/threadedComments/threadedComment2.xml><?xml version="1.0" encoding="utf-8"?>
<ThreadedComments xmlns="http://schemas.microsoft.com/office/spreadsheetml/2018/threadedcomments" xmlns:x="http://schemas.openxmlformats.org/spreadsheetml/2006/main">
  <threadedComment ref="A190" dT="2025-01-19T20:28:49.01" personId="{A8C97A42-703B-4C69-A255-37B78CC8E215}" id="{8C2DAA3F-9869-40A8-8ED6-1C427505B87B}">
    <text xml:space="preserve">Readily marketable inventories ("RMI") are agricultural commodity inventories, such as soybeans, soybean meal, soybean oil, palm oil, corn, and wheat carried at fair value because of their commodity characteristics, widely available markets, and international pricing mechanisms. All other inventories are carried at lower of cost or net realizable value. </text>
  </threadedComment>
  <threadedComment ref="F191" dT="2025-01-19T20:29:21.64" personId="{A8C97A42-703B-4C69-A255-37B78CC8E215}" id="{52926FA8-7778-4A34-AD49-F339EA37B668}">
    <text xml:space="preserve">The Company engages in trading and distribution, or merchandising activities, and part of RMI can be attributable to such activities and is not held for processing. Included in RMI is $4,785 million and $4,242 million attributable to merchandising activities at March 31, 2024, and December 31, 2023, respectively </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3E3B0A-6E56-4D9A-A7A9-ED603F6AD3EB}">
  <dimension ref="B2:M22"/>
  <sheetViews>
    <sheetView tabSelected="1" workbookViewId="0">
      <selection activeCell="M5" sqref="M5"/>
    </sheetView>
  </sheetViews>
  <sheetFormatPr defaultRowHeight="14.5" x14ac:dyDescent="0.35"/>
  <cols>
    <col min="2" max="2" width="17.90625" customWidth="1"/>
    <col min="13" max="13" width="9.453125" bestFit="1" customWidth="1"/>
  </cols>
  <sheetData>
    <row r="2" spans="2:13" x14ac:dyDescent="0.35">
      <c r="B2" s="8" t="s">
        <v>116</v>
      </c>
      <c r="E2" s="8" t="s">
        <v>115</v>
      </c>
    </row>
    <row r="3" spans="2:13" x14ac:dyDescent="0.35">
      <c r="B3" s="1" t="s">
        <v>87</v>
      </c>
      <c r="E3" t="s">
        <v>111</v>
      </c>
    </row>
    <row r="4" spans="2:13" x14ac:dyDescent="0.35">
      <c r="B4" s="1" t="s">
        <v>122</v>
      </c>
      <c r="E4" t="s">
        <v>112</v>
      </c>
      <c r="K4" t="s">
        <v>165</v>
      </c>
      <c r="L4">
        <v>81.41</v>
      </c>
      <c r="M4" s="5">
        <v>45823</v>
      </c>
    </row>
    <row r="5" spans="2:13" x14ac:dyDescent="0.35">
      <c r="B5" s="1" t="s">
        <v>89</v>
      </c>
      <c r="E5" t="s">
        <v>113</v>
      </c>
    </row>
    <row r="6" spans="2:13" x14ac:dyDescent="0.35">
      <c r="B6" s="1" t="s">
        <v>123</v>
      </c>
      <c r="E6" t="s">
        <v>114</v>
      </c>
    </row>
    <row r="7" spans="2:13" x14ac:dyDescent="0.35">
      <c r="B7" s="9" t="s">
        <v>124</v>
      </c>
    </row>
    <row r="8" spans="2:13" x14ac:dyDescent="0.35">
      <c r="B8" s="1" t="s">
        <v>125</v>
      </c>
    </row>
    <row r="11" spans="2:13" x14ac:dyDescent="0.35">
      <c r="B11" s="8" t="s">
        <v>104</v>
      </c>
      <c r="E11" s="8" t="s">
        <v>117</v>
      </c>
    </row>
    <row r="12" spans="2:13" x14ac:dyDescent="0.35">
      <c r="B12" t="s">
        <v>105</v>
      </c>
      <c r="E12" t="s">
        <v>118</v>
      </c>
    </row>
    <row r="13" spans="2:13" x14ac:dyDescent="0.35">
      <c r="B13" t="s">
        <v>106</v>
      </c>
      <c r="E13" t="s">
        <v>119</v>
      </c>
    </row>
    <row r="14" spans="2:13" x14ac:dyDescent="0.35">
      <c r="B14" t="s">
        <v>107</v>
      </c>
      <c r="E14" t="s">
        <v>120</v>
      </c>
    </row>
    <row r="15" spans="2:13" x14ac:dyDescent="0.35">
      <c r="B15" t="s">
        <v>108</v>
      </c>
    </row>
    <row r="16" spans="2:13" x14ac:dyDescent="0.35">
      <c r="B16" t="s">
        <v>109</v>
      </c>
    </row>
    <row r="17" spans="2:2" x14ac:dyDescent="0.35">
      <c r="B17" t="s">
        <v>110</v>
      </c>
    </row>
    <row r="20" spans="2:2" x14ac:dyDescent="0.35">
      <c r="B20" s="1" t="s">
        <v>127</v>
      </c>
    </row>
    <row r="22" spans="2:2" x14ac:dyDescent="0.35">
      <c r="B22" s="1" t="s">
        <v>128</v>
      </c>
    </row>
  </sheetData>
  <hyperlinks>
    <hyperlink ref="B3" location="Agribusiness!A1" display="Agribusiness" xr:uid="{A28F72D0-0A70-4165-BC81-21C2CAAC78BD}"/>
    <hyperlink ref="B4" location="RefinedSpecialtyOils!A1" display="Refined and Specialty Oils" xr:uid="{FAA867F4-3282-477D-83CD-9E2B6284B45E}"/>
    <hyperlink ref="B5" location="Milling!A1" display="Milling" xr:uid="{18C99C48-7571-4818-9687-97FA4F9B53A2}"/>
    <hyperlink ref="B6" location="CorporateOther!A1" display="Corporate and Other" xr:uid="{58EB65AE-8766-47EC-8606-FF6CE19C8873}"/>
    <hyperlink ref="B8" location="SugarBioenergy!A1" display="Sugar and bioenergy segment" xr:uid="{A6299547-E464-436C-BB64-EF66898FE03F}"/>
    <hyperlink ref="B20" location="Properties!A1" display="Properties" xr:uid="{FC1E241C-D09B-4CC4-9A3E-D4FE1C19BB90}"/>
    <hyperlink ref="B22" location="Acquisitions!A1" display="Acquisitions" xr:uid="{4D801636-3CB9-45E0-8F60-4CEB8B1102B7}"/>
  </hyperlinks>
  <pageMargins left="0.7" right="0.7" top="0.75" bottom="0.75" header="0.3" footer="0.3"/>
  <drawing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157565-9A05-4A68-83E4-385C7584E678}">
  <dimension ref="A1"/>
  <sheetViews>
    <sheetView topLeftCell="A13" workbookViewId="0">
      <selection activeCell="B59" sqref="B59"/>
    </sheetView>
  </sheetViews>
  <sheetFormatPr defaultRowHeight="14.5" x14ac:dyDescent="0.3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217"/>
  <sheetViews>
    <sheetView topLeftCell="A81" zoomScale="70" zoomScaleNormal="70" workbookViewId="0">
      <pane xSplit="1" topLeftCell="B1" activePane="topRight" state="frozen"/>
      <selection activeCell="A70" sqref="A70"/>
      <selection pane="topRight" activeCell="H84" sqref="H84"/>
    </sheetView>
  </sheetViews>
  <sheetFormatPr defaultRowHeight="14.5" x14ac:dyDescent="0.35"/>
  <cols>
    <col min="1" max="1" width="32.08984375" bestFit="1" customWidth="1"/>
    <col min="2" max="4" width="9.453125" bestFit="1" customWidth="1"/>
    <col min="5" max="5" width="10.453125" bestFit="1" customWidth="1"/>
    <col min="6" max="8" width="9.453125" bestFit="1" customWidth="1"/>
    <col min="9" max="9" width="10.453125" bestFit="1" customWidth="1"/>
    <col min="10" max="10" width="8.7265625" style="2"/>
  </cols>
  <sheetData>
    <row r="1" spans="1:16" x14ac:dyDescent="0.35">
      <c r="A1" s="1" t="s">
        <v>0</v>
      </c>
      <c r="J1" s="2" t="s">
        <v>2</v>
      </c>
    </row>
    <row r="2" spans="1:16" x14ac:dyDescent="0.35">
      <c r="A2" t="s">
        <v>1</v>
      </c>
      <c r="J2" s="2" t="s">
        <v>2</v>
      </c>
    </row>
    <row r="3" spans="1:16" s="2" customFormat="1" x14ac:dyDescent="0.35">
      <c r="A3" s="2" t="s">
        <v>3</v>
      </c>
      <c r="B3" s="2" t="s">
        <v>4</v>
      </c>
      <c r="C3" s="2" t="s">
        <v>5</v>
      </c>
      <c r="D3" s="2" t="s">
        <v>6</v>
      </c>
      <c r="E3" s="2" t="s">
        <v>7</v>
      </c>
      <c r="F3" s="2" t="s">
        <v>8</v>
      </c>
      <c r="G3" s="2" t="s">
        <v>9</v>
      </c>
      <c r="H3" s="2" t="s">
        <v>10</v>
      </c>
      <c r="I3" s="2" t="s">
        <v>11</v>
      </c>
      <c r="J3" s="2" t="s">
        <v>2</v>
      </c>
      <c r="K3" s="2">
        <v>2021</v>
      </c>
      <c r="L3" s="2">
        <v>2022</v>
      </c>
      <c r="M3" s="2">
        <v>2023</v>
      </c>
      <c r="N3" s="2">
        <v>2024</v>
      </c>
    </row>
    <row r="4" spans="1:16" s="2" customFormat="1" x14ac:dyDescent="0.35"/>
    <row r="5" spans="1:16" s="3" customFormat="1" x14ac:dyDescent="0.35">
      <c r="A5" t="s">
        <v>126</v>
      </c>
      <c r="E5" s="3">
        <v>23000</v>
      </c>
    </row>
    <row r="6" spans="1:16" x14ac:dyDescent="0.35">
      <c r="B6" s="5">
        <v>45016</v>
      </c>
      <c r="C6" s="5">
        <v>45107</v>
      </c>
      <c r="D6" s="5">
        <v>45199</v>
      </c>
      <c r="E6" s="5">
        <v>45291</v>
      </c>
      <c r="F6" s="5">
        <v>45382</v>
      </c>
      <c r="G6" s="5">
        <v>45473</v>
      </c>
      <c r="H6" s="5">
        <v>45565</v>
      </c>
      <c r="I6" s="5">
        <v>45657</v>
      </c>
      <c r="J6" s="2" t="s">
        <v>2</v>
      </c>
    </row>
    <row r="7" spans="1:16" s="2" customFormat="1" x14ac:dyDescent="0.35">
      <c r="A7" s="2" t="s">
        <v>87</v>
      </c>
      <c r="B7" s="4"/>
      <c r="C7" s="4"/>
      <c r="D7" s="4"/>
      <c r="E7" s="4"/>
      <c r="F7" s="4"/>
      <c r="G7" s="4"/>
      <c r="H7" s="4"/>
      <c r="I7" s="4"/>
      <c r="J7" s="4" t="s">
        <v>2</v>
      </c>
      <c r="K7" s="3"/>
      <c r="L7" s="3"/>
      <c r="N7" s="3"/>
      <c r="O7" s="4"/>
      <c r="P7" s="4"/>
    </row>
    <row r="8" spans="1:16" x14ac:dyDescent="0.35">
      <c r="A8" t="s">
        <v>92</v>
      </c>
      <c r="B8" s="3">
        <v>18386</v>
      </c>
      <c r="C8" s="3">
        <v>18257</v>
      </c>
      <c r="D8" s="3">
        <v>18854</v>
      </c>
      <c r="E8" s="3">
        <f>+M8-SUM(B8:D8)</f>
        <v>20522</v>
      </c>
      <c r="F8" s="3">
        <v>20192</v>
      </c>
      <c r="G8" s="3">
        <v>20579</v>
      </c>
      <c r="H8" s="3">
        <v>19892</v>
      </c>
      <c r="I8" s="3"/>
      <c r="J8" s="4" t="s">
        <v>2</v>
      </c>
      <c r="K8" s="3"/>
      <c r="L8" s="3">
        <v>77492</v>
      </c>
      <c r="M8" s="3">
        <v>76019</v>
      </c>
      <c r="N8" s="3"/>
      <c r="O8" s="3"/>
      <c r="P8" s="3"/>
    </row>
    <row r="9" spans="1:16" x14ac:dyDescent="0.35">
      <c r="A9" t="s">
        <v>93</v>
      </c>
      <c r="B9" s="3">
        <v>10852</v>
      </c>
      <c r="C9" s="3">
        <v>10875</v>
      </c>
      <c r="D9" s="3">
        <v>10082</v>
      </c>
      <c r="E9" s="3">
        <f t="shared" ref="E9:E10" si="0">+M9-SUM(B9:D9)</f>
        <v>10955</v>
      </c>
      <c r="F9" s="3">
        <v>9740</v>
      </c>
      <c r="G9" s="3">
        <v>9657</v>
      </c>
      <c r="H9" s="3">
        <v>9292</v>
      </c>
      <c r="I9" s="3"/>
      <c r="J9" s="4" t="s">
        <v>2</v>
      </c>
      <c r="K9" s="3"/>
      <c r="L9" s="3">
        <v>47700</v>
      </c>
      <c r="M9" s="3">
        <v>42764</v>
      </c>
      <c r="N9" s="3"/>
      <c r="O9" s="3"/>
      <c r="P9" s="3"/>
    </row>
    <row r="10" spans="1:16" x14ac:dyDescent="0.35">
      <c r="A10" t="s">
        <v>13</v>
      </c>
      <c r="B10" s="3">
        <v>-10044</v>
      </c>
      <c r="C10" s="3">
        <v>-9878</v>
      </c>
      <c r="D10" s="3">
        <v>-9437</v>
      </c>
      <c r="E10" s="3">
        <f t="shared" si="0"/>
        <v>-10084</v>
      </c>
      <c r="F10" s="3">
        <v>-9286</v>
      </c>
      <c r="G10" s="3">
        <v>-9368</v>
      </c>
      <c r="H10" s="3">
        <v>-8900</v>
      </c>
      <c r="I10" s="3"/>
      <c r="J10" s="4" t="s">
        <v>2</v>
      </c>
      <c r="K10" s="3"/>
      <c r="L10" s="3">
        <v>-45410</v>
      </c>
      <c r="M10" s="3">
        <v>-39443</v>
      </c>
      <c r="N10" s="3"/>
      <c r="O10" s="3"/>
      <c r="P10" s="3"/>
    </row>
    <row r="11" spans="1:16" s="2" customFormat="1" x14ac:dyDescent="0.35">
      <c r="A11" s="2" t="s">
        <v>94</v>
      </c>
      <c r="B11" s="4">
        <f t="shared" ref="B11:E11" si="1">+B10+B9</f>
        <v>808</v>
      </c>
      <c r="C11" s="4">
        <f t="shared" si="1"/>
        <v>997</v>
      </c>
      <c r="D11" s="4">
        <f t="shared" si="1"/>
        <v>645</v>
      </c>
      <c r="E11" s="4">
        <f t="shared" si="1"/>
        <v>871</v>
      </c>
      <c r="F11" s="4">
        <f>+F10+F9</f>
        <v>454</v>
      </c>
      <c r="G11" s="4">
        <f t="shared" ref="G11:I11" si="2">+G10+G9</f>
        <v>289</v>
      </c>
      <c r="H11" s="4">
        <f t="shared" si="2"/>
        <v>392</v>
      </c>
      <c r="I11" s="4">
        <f t="shared" si="2"/>
        <v>0</v>
      </c>
      <c r="J11" s="4" t="s">
        <v>2</v>
      </c>
      <c r="K11" s="4">
        <f t="shared" ref="K11" si="3">+K10+K9</f>
        <v>0</v>
      </c>
      <c r="L11" s="4">
        <f t="shared" ref="L11:M11" si="4">+L10+L9</f>
        <v>2290</v>
      </c>
      <c r="M11" s="4">
        <f t="shared" si="4"/>
        <v>3321</v>
      </c>
      <c r="N11" s="4">
        <f t="shared" ref="N11" si="5">+N10+N9</f>
        <v>0</v>
      </c>
      <c r="O11" s="4"/>
      <c r="P11" s="4"/>
    </row>
    <row r="12" spans="1:16" x14ac:dyDescent="0.35">
      <c r="A12" t="s">
        <v>15</v>
      </c>
      <c r="B12" s="3">
        <v>-132</v>
      </c>
      <c r="C12" s="3">
        <v>-151</v>
      </c>
      <c r="D12" s="3">
        <v>-145</v>
      </c>
      <c r="E12" s="3">
        <f t="shared" ref="E12:E16" si="6">+M12-SUM(B12:D12)</f>
        <v>-164</v>
      </c>
      <c r="F12" s="3">
        <v>-155</v>
      </c>
      <c r="G12" s="3">
        <v>-150</v>
      </c>
      <c r="H12" s="3">
        <v>-147</v>
      </c>
      <c r="I12" s="3"/>
      <c r="J12" s="4" t="s">
        <v>2</v>
      </c>
      <c r="K12" s="3"/>
      <c r="L12" s="3">
        <v>-532</v>
      </c>
      <c r="M12" s="3">
        <v>-592</v>
      </c>
      <c r="N12" s="3"/>
      <c r="O12" s="3"/>
      <c r="P12" s="3"/>
    </row>
    <row r="13" spans="1:16" x14ac:dyDescent="0.35">
      <c r="A13" t="s">
        <v>18</v>
      </c>
      <c r="B13" s="3">
        <v>39</v>
      </c>
      <c r="C13" s="3">
        <v>-64</v>
      </c>
      <c r="D13" s="3">
        <v>-52</v>
      </c>
      <c r="E13" s="3">
        <f t="shared" si="6"/>
        <v>77</v>
      </c>
      <c r="F13" s="3">
        <v>-62</v>
      </c>
      <c r="G13" s="3">
        <v>-39</v>
      </c>
      <c r="H13" s="3">
        <v>20</v>
      </c>
      <c r="I13" s="3"/>
      <c r="J13" s="4" t="s">
        <v>2</v>
      </c>
      <c r="K13" s="3"/>
      <c r="L13" s="3">
        <v>2</v>
      </c>
      <c r="M13" s="3">
        <v>0</v>
      </c>
      <c r="N13" s="3"/>
      <c r="O13" s="3"/>
      <c r="P13" s="3"/>
    </row>
    <row r="14" spans="1:16" x14ac:dyDescent="0.35">
      <c r="A14" t="s">
        <v>95</v>
      </c>
      <c r="B14" s="3">
        <v>-21</v>
      </c>
      <c r="C14" s="3">
        <v>1</v>
      </c>
      <c r="D14" s="3">
        <v>-9</v>
      </c>
      <c r="E14" s="3">
        <f t="shared" si="6"/>
        <v>-41</v>
      </c>
      <c r="F14" s="3">
        <v>3</v>
      </c>
      <c r="G14" s="3">
        <v>7</v>
      </c>
      <c r="H14" s="3">
        <v>4</v>
      </c>
      <c r="I14" s="3"/>
      <c r="J14" s="4" t="s">
        <v>2</v>
      </c>
      <c r="K14" s="3"/>
      <c r="L14" s="3">
        <v>-45</v>
      </c>
      <c r="M14" s="3">
        <v>-70</v>
      </c>
      <c r="N14" s="3"/>
      <c r="O14" s="3"/>
      <c r="P14" s="3"/>
    </row>
    <row r="15" spans="1:16" x14ac:dyDescent="0.35">
      <c r="A15" t="s">
        <v>96</v>
      </c>
      <c r="B15" s="3">
        <v>11</v>
      </c>
      <c r="C15" s="3">
        <v>7</v>
      </c>
      <c r="D15" s="3">
        <v>36</v>
      </c>
      <c r="E15" s="3">
        <f t="shared" si="6"/>
        <v>72</v>
      </c>
      <c r="F15" s="3">
        <v>53</v>
      </c>
      <c r="G15" s="3">
        <v>56</v>
      </c>
      <c r="H15" s="3">
        <v>79</v>
      </c>
      <c r="I15" s="3"/>
      <c r="J15" s="4" t="s">
        <v>2</v>
      </c>
      <c r="K15" s="3"/>
      <c r="L15" s="3">
        <v>-67</v>
      </c>
      <c r="M15" s="3">
        <v>126</v>
      </c>
      <c r="N15" s="3"/>
      <c r="O15" s="3"/>
      <c r="P15" s="3"/>
    </row>
    <row r="16" spans="1:16" x14ac:dyDescent="0.35">
      <c r="A16" t="s">
        <v>97</v>
      </c>
      <c r="B16" s="3">
        <v>0</v>
      </c>
      <c r="C16" s="3">
        <v>-5</v>
      </c>
      <c r="D16" s="3">
        <v>-14</v>
      </c>
      <c r="E16" s="3">
        <f t="shared" si="6"/>
        <v>20</v>
      </c>
      <c r="F16" s="3">
        <v>-15</v>
      </c>
      <c r="G16" s="3">
        <v>-25</v>
      </c>
      <c r="H16" s="3">
        <v>-26</v>
      </c>
      <c r="I16" s="3"/>
      <c r="J16" s="4" t="s">
        <v>2</v>
      </c>
      <c r="K16" s="3"/>
      <c r="L16" s="3">
        <v>67</v>
      </c>
      <c r="M16" s="3">
        <v>1</v>
      </c>
      <c r="N16" s="3"/>
      <c r="O16" s="3"/>
      <c r="P16" s="3"/>
    </row>
    <row r="17" spans="1:16" s="2" customFormat="1" x14ac:dyDescent="0.35">
      <c r="A17" s="2" t="s">
        <v>98</v>
      </c>
      <c r="B17" s="4">
        <f t="shared" ref="B17:E17" si="7">+SUM(B11:B16)</f>
        <v>705</v>
      </c>
      <c r="C17" s="4">
        <f t="shared" si="7"/>
        <v>785</v>
      </c>
      <c r="D17" s="4">
        <f t="shared" si="7"/>
        <v>461</v>
      </c>
      <c r="E17" s="4">
        <f t="shared" si="7"/>
        <v>835</v>
      </c>
      <c r="F17" s="4">
        <f>+SUM(F11:F16)</f>
        <v>278</v>
      </c>
      <c r="G17" s="4">
        <f t="shared" ref="G17:N17" si="8">+SUM(G11:G16)</f>
        <v>138</v>
      </c>
      <c r="H17" s="4">
        <f t="shared" si="8"/>
        <v>322</v>
      </c>
      <c r="I17" s="4">
        <f t="shared" si="8"/>
        <v>0</v>
      </c>
      <c r="J17" s="4" t="s">
        <v>2</v>
      </c>
      <c r="K17" s="4">
        <f t="shared" ref="K17:L17" si="9">+SUM(K11:K16)</f>
        <v>0</v>
      </c>
      <c r="L17" s="4">
        <f t="shared" si="9"/>
        <v>1715</v>
      </c>
      <c r="M17" s="4">
        <f t="shared" si="8"/>
        <v>2786</v>
      </c>
      <c r="N17" s="4">
        <f t="shared" si="8"/>
        <v>0</v>
      </c>
      <c r="O17" s="4"/>
      <c r="P17" s="4"/>
    </row>
    <row r="18" spans="1:16" s="2" customFormat="1" x14ac:dyDescent="0.35">
      <c r="A18"/>
      <c r="B18" s="4"/>
      <c r="C18" s="4"/>
      <c r="D18" s="4"/>
      <c r="E18" s="4"/>
      <c r="F18" s="4"/>
      <c r="G18" s="4"/>
      <c r="H18" s="4"/>
      <c r="I18" s="4"/>
      <c r="J18" s="4" t="s">
        <v>2</v>
      </c>
      <c r="K18" s="4"/>
      <c r="L18" s="4"/>
      <c r="M18" s="4"/>
      <c r="N18" s="4"/>
      <c r="O18" s="4"/>
      <c r="P18" s="4"/>
    </row>
    <row r="19" spans="1:16" x14ac:dyDescent="0.35">
      <c r="A19" s="2" t="s">
        <v>88</v>
      </c>
      <c r="B19" s="3"/>
      <c r="C19" s="3"/>
      <c r="D19" s="3"/>
      <c r="E19" s="3"/>
      <c r="F19" s="3"/>
      <c r="G19" s="3"/>
      <c r="H19" s="3"/>
      <c r="I19" s="3"/>
      <c r="J19" s="4" t="s">
        <v>2</v>
      </c>
      <c r="K19" s="3"/>
      <c r="L19" s="3"/>
      <c r="N19" s="3"/>
      <c r="O19" s="3"/>
      <c r="P19" s="3"/>
    </row>
    <row r="20" spans="1:16" x14ac:dyDescent="0.35">
      <c r="A20" t="s">
        <v>92</v>
      </c>
      <c r="B20" s="3">
        <v>2146</v>
      </c>
      <c r="C20" s="3">
        <v>2212</v>
      </c>
      <c r="D20" s="3">
        <v>2278</v>
      </c>
      <c r="E20" s="3">
        <f t="shared" ref="E20:E22" si="10">+M20-SUM(B20:D20)</f>
        <v>2272</v>
      </c>
      <c r="F20" s="3">
        <v>2195</v>
      </c>
      <c r="G20" s="3">
        <v>2300</v>
      </c>
      <c r="H20" s="3">
        <v>2334</v>
      </c>
      <c r="I20" s="3"/>
      <c r="J20" s="4" t="s">
        <v>2</v>
      </c>
      <c r="K20" s="3"/>
      <c r="L20" s="3">
        <v>9201</v>
      </c>
      <c r="M20" s="3">
        <v>8908</v>
      </c>
      <c r="N20" s="3"/>
      <c r="O20" s="3"/>
      <c r="P20" s="3"/>
    </row>
    <row r="21" spans="1:16" x14ac:dyDescent="0.35">
      <c r="A21" t="s">
        <v>93</v>
      </c>
      <c r="B21" s="3">
        <v>3888</v>
      </c>
      <c r="C21" s="3">
        <v>3601</v>
      </c>
      <c r="D21" s="3">
        <v>3601</v>
      </c>
      <c r="E21" s="3">
        <f t="shared" si="10"/>
        <v>3513</v>
      </c>
      <c r="F21" s="3">
        <v>3240</v>
      </c>
      <c r="G21" s="3">
        <v>3121</v>
      </c>
      <c r="H21" s="3">
        <v>3158</v>
      </c>
      <c r="I21" s="3"/>
      <c r="J21" s="4" t="s">
        <v>2</v>
      </c>
      <c r="K21" s="3"/>
      <c r="L21" s="3">
        <v>16850</v>
      </c>
      <c r="M21" s="3">
        <v>14603</v>
      </c>
      <c r="N21" s="3"/>
      <c r="O21" s="3"/>
      <c r="P21" s="3"/>
    </row>
    <row r="22" spans="1:16" x14ac:dyDescent="0.35">
      <c r="A22" t="s">
        <v>13</v>
      </c>
      <c r="B22" s="3">
        <v>-3546</v>
      </c>
      <c r="C22" s="3">
        <v>-3268</v>
      </c>
      <c r="D22" s="3">
        <v>-3249</v>
      </c>
      <c r="E22" s="3">
        <f t="shared" si="10"/>
        <v>-3171</v>
      </c>
      <c r="F22" s="3">
        <v>-2881</v>
      </c>
      <c r="G22" s="3">
        <v>-2806</v>
      </c>
      <c r="H22" s="3">
        <v>-2820</v>
      </c>
      <c r="I22" s="3"/>
      <c r="J22" s="4" t="s">
        <v>2</v>
      </c>
      <c r="K22" s="3"/>
      <c r="L22" s="3">
        <v>-15692</v>
      </c>
      <c r="M22" s="3">
        <v>-13234</v>
      </c>
      <c r="N22" s="3"/>
      <c r="O22" s="3"/>
      <c r="P22" s="3"/>
    </row>
    <row r="23" spans="1:16" s="2" customFormat="1" x14ac:dyDescent="0.35">
      <c r="A23" s="2" t="s">
        <v>94</v>
      </c>
      <c r="B23" s="4">
        <f t="shared" ref="B23" si="11">+B22+B21</f>
        <v>342</v>
      </c>
      <c r="C23" s="4">
        <f t="shared" ref="C23" si="12">+C22+C21</f>
        <v>333</v>
      </c>
      <c r="D23" s="4">
        <f t="shared" ref="D23" si="13">+D22+D21</f>
        <v>352</v>
      </c>
      <c r="E23" s="4">
        <f t="shared" ref="E23" si="14">+E22+E21</f>
        <v>342</v>
      </c>
      <c r="F23" s="4">
        <f>+F22+F21</f>
        <v>359</v>
      </c>
      <c r="G23" s="4">
        <f t="shared" ref="G23" si="15">+G22+G21</f>
        <v>315</v>
      </c>
      <c r="H23" s="4">
        <f t="shared" ref="H23" si="16">+H22+H21</f>
        <v>338</v>
      </c>
      <c r="I23" s="4">
        <f t="shared" ref="I23" si="17">+I22+I21</f>
        <v>0</v>
      </c>
      <c r="J23" s="4" t="s">
        <v>2</v>
      </c>
      <c r="K23" s="4">
        <f t="shared" ref="K23" si="18">+K22+K21</f>
        <v>0</v>
      </c>
      <c r="L23" s="4">
        <f t="shared" ref="L23:M23" si="19">+L22+L21</f>
        <v>1158</v>
      </c>
      <c r="M23" s="4">
        <f t="shared" si="19"/>
        <v>1369</v>
      </c>
      <c r="N23" s="4">
        <f t="shared" ref="N23" si="20">+N22+N21</f>
        <v>0</v>
      </c>
      <c r="O23" s="4"/>
      <c r="P23" s="4"/>
    </row>
    <row r="24" spans="1:16" x14ac:dyDescent="0.35">
      <c r="A24" t="s">
        <v>15</v>
      </c>
      <c r="B24" s="3">
        <v>-95</v>
      </c>
      <c r="C24" s="3">
        <v>-98</v>
      </c>
      <c r="D24" s="3">
        <v>-98</v>
      </c>
      <c r="E24" s="3">
        <f t="shared" ref="E24:E28" si="21">+M24-SUM(B24:D24)</f>
        <v>-134</v>
      </c>
      <c r="F24" s="3">
        <v>-100</v>
      </c>
      <c r="G24" s="3">
        <v>-100</v>
      </c>
      <c r="H24" s="3">
        <v>-103</v>
      </c>
      <c r="I24" s="3"/>
      <c r="J24" s="4" t="s">
        <v>2</v>
      </c>
      <c r="K24" s="3"/>
      <c r="L24" s="3">
        <v>-357</v>
      </c>
      <c r="M24" s="3">
        <v>-425</v>
      </c>
      <c r="N24" s="3"/>
      <c r="O24" s="3"/>
      <c r="P24" s="3"/>
    </row>
    <row r="25" spans="1:16" x14ac:dyDescent="0.35">
      <c r="A25" t="s">
        <v>18</v>
      </c>
      <c r="B25" s="3">
        <v>5</v>
      </c>
      <c r="C25" s="3">
        <v>5</v>
      </c>
      <c r="D25" s="3">
        <v>-2</v>
      </c>
      <c r="E25" s="3">
        <f t="shared" si="21"/>
        <v>-1</v>
      </c>
      <c r="F25" s="3">
        <v>-11</v>
      </c>
      <c r="G25" s="3">
        <v>-2</v>
      </c>
      <c r="H25" s="3">
        <v>-8</v>
      </c>
      <c r="I25" s="3"/>
      <c r="J25" s="4" t="s">
        <v>2</v>
      </c>
      <c r="K25" s="3"/>
      <c r="L25" s="3">
        <v>-14</v>
      </c>
      <c r="M25" s="3">
        <v>7</v>
      </c>
      <c r="N25" s="3"/>
      <c r="O25" s="3"/>
      <c r="P25" s="3"/>
    </row>
    <row r="26" spans="1:16" x14ac:dyDescent="0.35">
      <c r="A26" t="s">
        <v>95</v>
      </c>
      <c r="B26" s="3">
        <v>-4</v>
      </c>
      <c r="C26" s="3">
        <v>-7</v>
      </c>
      <c r="D26" s="3">
        <v>-6</v>
      </c>
      <c r="E26" s="3">
        <f t="shared" si="21"/>
        <v>-4</v>
      </c>
      <c r="F26" s="3">
        <v>-6</v>
      </c>
      <c r="G26" s="3">
        <v>-12</v>
      </c>
      <c r="H26" s="3">
        <v>-13</v>
      </c>
      <c r="I26" s="3"/>
      <c r="J26" s="4" t="s">
        <v>2</v>
      </c>
      <c r="K26" s="3"/>
      <c r="L26" s="3">
        <v>-12</v>
      </c>
      <c r="M26" s="3">
        <v>-21</v>
      </c>
      <c r="N26" s="3"/>
      <c r="O26" s="3"/>
      <c r="P26" s="3"/>
    </row>
    <row r="27" spans="1:16" x14ac:dyDescent="0.35">
      <c r="A27" t="s">
        <v>96</v>
      </c>
      <c r="B27" s="3">
        <v>-15</v>
      </c>
      <c r="C27" s="3">
        <v>-16</v>
      </c>
      <c r="D27" s="3">
        <v>-19</v>
      </c>
      <c r="E27" s="3">
        <f t="shared" si="21"/>
        <v>-15</v>
      </c>
      <c r="F27" s="3">
        <v>-16</v>
      </c>
      <c r="G27" s="3">
        <v>-16</v>
      </c>
      <c r="H27" s="3">
        <v>-14</v>
      </c>
      <c r="I27" s="3"/>
      <c r="J27" s="4" t="s">
        <v>2</v>
      </c>
      <c r="K27" s="3"/>
      <c r="L27" s="3">
        <v>-29</v>
      </c>
      <c r="M27" s="3">
        <v>-65</v>
      </c>
      <c r="N27" s="3"/>
      <c r="O27" s="3"/>
      <c r="P27" s="3"/>
    </row>
    <row r="28" spans="1:16" x14ac:dyDescent="0.35">
      <c r="A28" t="s">
        <v>97</v>
      </c>
      <c r="B28" s="3">
        <v>0</v>
      </c>
      <c r="C28" s="3">
        <v>0</v>
      </c>
      <c r="D28" s="3">
        <v>0</v>
      </c>
      <c r="E28" s="3">
        <f t="shared" si="21"/>
        <v>0</v>
      </c>
      <c r="F28" s="3">
        <v>0</v>
      </c>
      <c r="G28" s="3">
        <v>0</v>
      </c>
      <c r="H28" s="3">
        <v>0</v>
      </c>
      <c r="I28" s="3"/>
      <c r="J28" s="4" t="s">
        <v>2</v>
      </c>
      <c r="K28" s="3"/>
      <c r="L28" s="3">
        <v>0</v>
      </c>
      <c r="M28" s="3">
        <v>0</v>
      </c>
      <c r="N28" s="3"/>
      <c r="O28" s="3"/>
      <c r="P28" s="3"/>
    </row>
    <row r="29" spans="1:16" s="2" customFormat="1" x14ac:dyDescent="0.35">
      <c r="A29" s="2" t="s">
        <v>98</v>
      </c>
      <c r="B29" s="4">
        <f t="shared" ref="B29" si="22">+SUM(B23:B28)</f>
        <v>233</v>
      </c>
      <c r="C29" s="4">
        <f t="shared" ref="C29" si="23">+SUM(C23:C28)</f>
        <v>217</v>
      </c>
      <c r="D29" s="4">
        <f t="shared" ref="D29" si="24">+SUM(D23:D28)</f>
        <v>227</v>
      </c>
      <c r="E29" s="4">
        <f t="shared" ref="E29" si="25">+SUM(E23:E28)</f>
        <v>188</v>
      </c>
      <c r="F29" s="4">
        <f>+SUM(F23:F28)</f>
        <v>226</v>
      </c>
      <c r="G29" s="4">
        <f t="shared" ref="G29" si="26">+SUM(G23:G28)</f>
        <v>185</v>
      </c>
      <c r="H29" s="4">
        <f t="shared" ref="H29" si="27">+SUM(H23:H28)</f>
        <v>200</v>
      </c>
      <c r="I29" s="4">
        <f t="shared" ref="I29" si="28">+SUM(I23:I28)</f>
        <v>0</v>
      </c>
      <c r="J29" s="4" t="s">
        <v>2</v>
      </c>
      <c r="K29" s="4">
        <f t="shared" ref="K29" si="29">+SUM(K23:K28)</f>
        <v>0</v>
      </c>
      <c r="L29" s="4">
        <f t="shared" ref="L29:M29" si="30">+SUM(L23:L28)</f>
        <v>746</v>
      </c>
      <c r="M29" s="4">
        <f t="shared" si="30"/>
        <v>865</v>
      </c>
      <c r="N29" s="4">
        <f t="shared" ref="N29" si="31">+SUM(N23:N28)</f>
        <v>0</v>
      </c>
      <c r="O29" s="4"/>
      <c r="P29" s="4"/>
    </row>
    <row r="30" spans="1:16" x14ac:dyDescent="0.35">
      <c r="A30" s="2"/>
      <c r="B30" s="3"/>
      <c r="C30" s="3"/>
      <c r="D30" s="3"/>
      <c r="E30" s="3"/>
      <c r="F30" s="3"/>
      <c r="G30" s="3"/>
      <c r="H30" s="3"/>
      <c r="I30" s="3"/>
      <c r="J30" s="4" t="s">
        <v>2</v>
      </c>
      <c r="K30" s="3"/>
      <c r="L30" s="3"/>
      <c r="M30" s="3"/>
      <c r="N30" s="3"/>
      <c r="O30" s="3"/>
      <c r="P30" s="3"/>
    </row>
    <row r="31" spans="1:16" s="2" customFormat="1" x14ac:dyDescent="0.35">
      <c r="B31" s="2" t="str">
        <f>+B3</f>
        <v>Q123</v>
      </c>
      <c r="C31" s="2" t="str">
        <f t="shared" ref="C31:N31" si="32">+C3</f>
        <v>Q223</v>
      </c>
      <c r="D31" s="2" t="str">
        <f t="shared" si="32"/>
        <v>Q323</v>
      </c>
      <c r="E31" s="2" t="str">
        <f t="shared" si="32"/>
        <v>Q423</v>
      </c>
      <c r="F31" s="2" t="str">
        <f t="shared" si="32"/>
        <v>Q124</v>
      </c>
      <c r="G31" s="2" t="str">
        <f t="shared" si="32"/>
        <v>Q224</v>
      </c>
      <c r="H31" s="2" t="str">
        <f t="shared" si="32"/>
        <v>Q324</v>
      </c>
      <c r="I31" s="2" t="str">
        <f t="shared" si="32"/>
        <v>Q424</v>
      </c>
      <c r="J31" s="2" t="s">
        <v>2</v>
      </c>
      <c r="K31" s="2">
        <f t="shared" ref="K31:L31" si="33">+K3</f>
        <v>2021</v>
      </c>
      <c r="L31" s="2">
        <f t="shared" si="33"/>
        <v>2022</v>
      </c>
      <c r="M31" s="2">
        <f t="shared" si="32"/>
        <v>2023</v>
      </c>
      <c r="N31" s="2">
        <f t="shared" si="32"/>
        <v>2024</v>
      </c>
    </row>
    <row r="32" spans="1:16" x14ac:dyDescent="0.35">
      <c r="A32" s="2" t="s">
        <v>89</v>
      </c>
      <c r="B32" s="3"/>
      <c r="C32" s="3"/>
      <c r="D32" s="3"/>
      <c r="E32" s="3"/>
      <c r="F32" s="3"/>
      <c r="G32" s="3"/>
      <c r="H32" s="3"/>
      <c r="I32" s="3"/>
      <c r="J32" s="4" t="s">
        <v>2</v>
      </c>
      <c r="K32" s="3"/>
      <c r="L32" s="3"/>
      <c r="M32" s="3"/>
      <c r="N32" s="3"/>
      <c r="O32" s="3"/>
      <c r="P32" s="3"/>
    </row>
    <row r="33" spans="1:16" x14ac:dyDescent="0.35">
      <c r="A33" t="s">
        <v>92</v>
      </c>
      <c r="B33" s="3">
        <v>821</v>
      </c>
      <c r="C33" s="3">
        <v>844</v>
      </c>
      <c r="D33" s="3">
        <v>890</v>
      </c>
      <c r="E33" s="3">
        <f t="shared" ref="E33:E35" si="34">+M33-SUM(B33:D33)</f>
        <v>836</v>
      </c>
      <c r="F33" s="3">
        <v>874</v>
      </c>
      <c r="G33" s="3">
        <v>971</v>
      </c>
      <c r="H33" s="3">
        <v>961</v>
      </c>
      <c r="I33" s="3"/>
      <c r="J33" s="4" t="s">
        <v>2</v>
      </c>
      <c r="K33" s="3"/>
      <c r="L33" s="3">
        <v>4331</v>
      </c>
      <c r="M33" s="3">
        <v>3391</v>
      </c>
      <c r="N33" s="3"/>
      <c r="O33" s="3"/>
      <c r="P33" s="3"/>
    </row>
    <row r="34" spans="1:16" x14ac:dyDescent="0.35">
      <c r="A34" t="s">
        <v>93</v>
      </c>
      <c r="B34" s="3">
        <v>515</v>
      </c>
      <c r="C34" s="3">
        <v>490</v>
      </c>
      <c r="D34" s="3">
        <v>479</v>
      </c>
      <c r="E34" s="3">
        <f t="shared" si="34"/>
        <v>412</v>
      </c>
      <c r="F34" s="3">
        <v>381</v>
      </c>
      <c r="G34" s="3">
        <v>401</v>
      </c>
      <c r="H34" s="3">
        <v>407</v>
      </c>
      <c r="I34" s="3"/>
      <c r="J34" s="4" t="s">
        <v>2</v>
      </c>
      <c r="K34" s="3"/>
      <c r="L34" s="3">
        <v>2388</v>
      </c>
      <c r="M34" s="3">
        <v>1896</v>
      </c>
      <c r="N34" s="3"/>
      <c r="O34" s="3"/>
      <c r="P34" s="3"/>
    </row>
    <row r="35" spans="1:16" x14ac:dyDescent="0.35">
      <c r="A35" t="s">
        <v>13</v>
      </c>
      <c r="B35" s="3">
        <v>-484</v>
      </c>
      <c r="C35" s="3">
        <v>-450</v>
      </c>
      <c r="D35" s="3">
        <v>-429</v>
      </c>
      <c r="E35" s="3">
        <f t="shared" si="34"/>
        <v>-366</v>
      </c>
      <c r="F35" s="3">
        <v>-321</v>
      </c>
      <c r="G35" s="3">
        <v>-335</v>
      </c>
      <c r="H35" s="3">
        <v>-364</v>
      </c>
      <c r="I35" s="3"/>
      <c r="J35" s="4" t="s">
        <v>2</v>
      </c>
      <c r="K35" s="3"/>
      <c r="L35" s="3">
        <v>-2128</v>
      </c>
      <c r="M35" s="3">
        <v>-1729</v>
      </c>
      <c r="N35" s="3"/>
      <c r="O35" s="3"/>
      <c r="P35" s="3"/>
    </row>
    <row r="36" spans="1:16" s="2" customFormat="1" x14ac:dyDescent="0.35">
      <c r="A36" s="2" t="s">
        <v>94</v>
      </c>
      <c r="B36" s="4">
        <f t="shared" ref="B36" si="35">+B35+B34</f>
        <v>31</v>
      </c>
      <c r="C36" s="4">
        <f t="shared" ref="C36" si="36">+C35+C34</f>
        <v>40</v>
      </c>
      <c r="D36" s="4">
        <f t="shared" ref="D36" si="37">+D35+D34</f>
        <v>50</v>
      </c>
      <c r="E36" s="4">
        <f t="shared" ref="E36" si="38">+E35+E34</f>
        <v>46</v>
      </c>
      <c r="F36" s="4">
        <f>+F35+F34</f>
        <v>60</v>
      </c>
      <c r="G36" s="4">
        <f t="shared" ref="G36" si="39">+G35+G34</f>
        <v>66</v>
      </c>
      <c r="H36" s="4">
        <f t="shared" ref="H36" si="40">+H35+H34</f>
        <v>43</v>
      </c>
      <c r="I36" s="4">
        <f t="shared" ref="I36" si="41">+I35+I34</f>
        <v>0</v>
      </c>
      <c r="J36" s="4" t="s">
        <v>2</v>
      </c>
      <c r="K36" s="4">
        <f t="shared" ref="K36" si="42">+K35+K34</f>
        <v>0</v>
      </c>
      <c r="L36" s="4">
        <f t="shared" ref="L36:M36" si="43">+L35+L34</f>
        <v>260</v>
      </c>
      <c r="M36" s="4">
        <f t="shared" si="43"/>
        <v>167</v>
      </c>
      <c r="N36" s="4">
        <f t="shared" ref="N36" si="44">+N35+N34</f>
        <v>0</v>
      </c>
      <c r="O36" s="4"/>
      <c r="P36" s="4"/>
    </row>
    <row r="37" spans="1:16" x14ac:dyDescent="0.35">
      <c r="A37" t="s">
        <v>15</v>
      </c>
      <c r="B37" s="3">
        <v>-21</v>
      </c>
      <c r="C37" s="3">
        <v>-24</v>
      </c>
      <c r="D37" s="3">
        <v>-25</v>
      </c>
      <c r="E37" s="3">
        <f t="shared" ref="E37:E41" si="45">+M37-SUM(B37:D37)</f>
        <v>-25</v>
      </c>
      <c r="F37" s="3">
        <v>-25</v>
      </c>
      <c r="G37" s="3">
        <v>-24</v>
      </c>
      <c r="H37" s="3">
        <v>-25</v>
      </c>
      <c r="I37" s="3"/>
      <c r="J37" s="4" t="s">
        <v>2</v>
      </c>
      <c r="K37" s="3"/>
      <c r="L37" s="3">
        <v>-102</v>
      </c>
      <c r="M37" s="3">
        <v>-95</v>
      </c>
      <c r="N37" s="3"/>
      <c r="O37" s="3"/>
      <c r="P37" s="3"/>
    </row>
    <row r="38" spans="1:16" x14ac:dyDescent="0.35">
      <c r="A38" t="s">
        <v>18</v>
      </c>
      <c r="B38" s="3">
        <v>0</v>
      </c>
      <c r="C38" s="3">
        <v>-1</v>
      </c>
      <c r="D38" s="3">
        <v>0</v>
      </c>
      <c r="E38" s="3">
        <f t="shared" si="45"/>
        <v>2</v>
      </c>
      <c r="F38" s="3">
        <v>0</v>
      </c>
      <c r="G38" s="3">
        <v>-2</v>
      </c>
      <c r="H38" s="3">
        <v>0</v>
      </c>
      <c r="I38" s="3"/>
      <c r="J38" s="4" t="s">
        <v>2</v>
      </c>
      <c r="K38" s="3"/>
      <c r="L38" s="3">
        <v>4</v>
      </c>
      <c r="M38" s="3">
        <v>1</v>
      </c>
      <c r="N38" s="3"/>
      <c r="O38" s="3"/>
      <c r="P38" s="3"/>
    </row>
    <row r="39" spans="1:16" x14ac:dyDescent="0.35">
      <c r="A39" t="s">
        <v>95</v>
      </c>
      <c r="B39" s="3">
        <v>0</v>
      </c>
      <c r="C39" s="3">
        <v>1</v>
      </c>
      <c r="D39" s="3">
        <v>0</v>
      </c>
      <c r="E39" s="3">
        <f t="shared" si="45"/>
        <v>0</v>
      </c>
      <c r="F39" s="3">
        <v>0</v>
      </c>
      <c r="G39" s="3">
        <v>0</v>
      </c>
      <c r="H39" s="3">
        <v>0</v>
      </c>
      <c r="I39" s="3"/>
      <c r="J39" s="4" t="s">
        <v>2</v>
      </c>
      <c r="K39" s="3"/>
      <c r="L39" s="3">
        <v>-1</v>
      </c>
      <c r="M39" s="3">
        <v>1</v>
      </c>
      <c r="N39" s="3"/>
      <c r="O39" s="3"/>
      <c r="P39" s="3"/>
    </row>
    <row r="40" spans="1:16" x14ac:dyDescent="0.35">
      <c r="A40" t="s">
        <v>96</v>
      </c>
      <c r="B40" s="3">
        <v>-1</v>
      </c>
      <c r="C40" s="3">
        <v>-2</v>
      </c>
      <c r="D40" s="3">
        <v>-2</v>
      </c>
      <c r="E40" s="3">
        <f t="shared" si="45"/>
        <v>-2</v>
      </c>
      <c r="F40" s="3">
        <v>-2</v>
      </c>
      <c r="G40" s="3">
        <v>-1</v>
      </c>
      <c r="H40" s="3">
        <v>-1</v>
      </c>
      <c r="I40" s="3"/>
      <c r="J40" s="4" t="s">
        <v>2</v>
      </c>
      <c r="K40" s="3"/>
      <c r="L40" s="3">
        <v>1</v>
      </c>
      <c r="M40" s="3">
        <v>-7</v>
      </c>
      <c r="N40" s="3"/>
      <c r="O40" s="3"/>
      <c r="P40" s="3"/>
    </row>
    <row r="41" spans="1:16" x14ac:dyDescent="0.35">
      <c r="A41" t="s">
        <v>97</v>
      </c>
      <c r="B41" s="3">
        <v>0</v>
      </c>
      <c r="C41" s="3">
        <v>0</v>
      </c>
      <c r="D41" s="3">
        <v>0</v>
      </c>
      <c r="E41" s="3">
        <f t="shared" si="45"/>
        <v>-1</v>
      </c>
      <c r="F41" s="3">
        <v>0</v>
      </c>
      <c r="G41" s="3">
        <v>-1</v>
      </c>
      <c r="H41" s="3">
        <v>0</v>
      </c>
      <c r="I41" s="3"/>
      <c r="J41" s="4" t="s">
        <v>2</v>
      </c>
      <c r="K41" s="3"/>
      <c r="L41" s="3">
        <v>0</v>
      </c>
      <c r="M41" s="3">
        <v>-1</v>
      </c>
      <c r="N41" s="3"/>
      <c r="O41" s="3"/>
      <c r="P41" s="3"/>
    </row>
    <row r="42" spans="1:16" s="2" customFormat="1" x14ac:dyDescent="0.35">
      <c r="A42" s="2" t="s">
        <v>98</v>
      </c>
      <c r="B42" s="4">
        <f t="shared" ref="B42" si="46">+SUM(B36:B41)</f>
        <v>9</v>
      </c>
      <c r="C42" s="4">
        <f t="shared" ref="C42" si="47">+SUM(C36:C41)</f>
        <v>14</v>
      </c>
      <c r="D42" s="4">
        <f t="shared" ref="D42" si="48">+SUM(D36:D41)</f>
        <v>23</v>
      </c>
      <c r="E42" s="4">
        <f t="shared" ref="E42" si="49">+SUM(E36:E41)</f>
        <v>20</v>
      </c>
      <c r="F42" s="4">
        <f>+SUM(F36:F41)</f>
        <v>33</v>
      </c>
      <c r="G42" s="4">
        <f t="shared" ref="G42" si="50">+SUM(G36:G41)</f>
        <v>38</v>
      </c>
      <c r="H42" s="4">
        <f t="shared" ref="H42" si="51">+SUM(H36:H41)</f>
        <v>17</v>
      </c>
      <c r="I42" s="4">
        <f t="shared" ref="I42" si="52">+SUM(I36:I41)</f>
        <v>0</v>
      </c>
      <c r="J42" s="4" t="s">
        <v>2</v>
      </c>
      <c r="K42" s="4">
        <f t="shared" ref="K42" si="53">+SUM(K36:K41)</f>
        <v>0</v>
      </c>
      <c r="L42" s="4">
        <f t="shared" ref="L42:M42" si="54">+SUM(L36:L41)</f>
        <v>162</v>
      </c>
      <c r="M42" s="4">
        <f t="shared" si="54"/>
        <v>66</v>
      </c>
      <c r="N42" s="4">
        <f t="shared" ref="N42" si="55">+SUM(N36:N41)</f>
        <v>0</v>
      </c>
      <c r="O42" s="4"/>
      <c r="P42" s="4"/>
    </row>
    <row r="43" spans="1:16" x14ac:dyDescent="0.35">
      <c r="A43" s="2"/>
      <c r="B43" s="3"/>
      <c r="C43" s="3"/>
      <c r="D43" s="3"/>
      <c r="E43" s="3"/>
      <c r="F43" s="3"/>
      <c r="G43" s="3"/>
      <c r="H43" s="3"/>
      <c r="I43" s="3"/>
      <c r="J43" s="4" t="s">
        <v>2</v>
      </c>
      <c r="K43" s="3"/>
      <c r="L43" s="3"/>
      <c r="M43" s="3"/>
      <c r="N43" s="3"/>
      <c r="O43" s="3"/>
      <c r="P43" s="3"/>
    </row>
    <row r="44" spans="1:16" x14ac:dyDescent="0.35">
      <c r="A44" s="2" t="s">
        <v>99</v>
      </c>
      <c r="B44" s="3"/>
      <c r="C44" s="3"/>
      <c r="D44" s="3"/>
      <c r="E44" s="3"/>
      <c r="F44" s="3"/>
      <c r="G44" s="3"/>
      <c r="H44" s="3"/>
      <c r="I44" s="3"/>
      <c r="J44" s="4" t="s">
        <v>2</v>
      </c>
      <c r="K44" s="3"/>
      <c r="L44" s="3"/>
      <c r="M44" s="3"/>
      <c r="N44" s="3"/>
      <c r="O44" s="3"/>
      <c r="P44" s="3"/>
    </row>
    <row r="45" spans="1:16" x14ac:dyDescent="0.35">
      <c r="A45" t="s">
        <v>93</v>
      </c>
      <c r="B45" s="3">
        <v>9</v>
      </c>
      <c r="C45" s="3">
        <v>11</v>
      </c>
      <c r="D45" s="3">
        <v>9</v>
      </c>
      <c r="E45" s="3">
        <f t="shared" ref="E45:E46" si="56">+M45-SUM(B45:D45)</f>
        <v>13</v>
      </c>
      <c r="F45" s="3">
        <v>13</v>
      </c>
      <c r="G45" s="3">
        <v>13</v>
      </c>
      <c r="H45" s="3">
        <v>13</v>
      </c>
      <c r="I45" s="3"/>
      <c r="J45" s="4" t="s">
        <v>2</v>
      </c>
      <c r="K45" s="3"/>
      <c r="L45" s="3">
        <v>35</v>
      </c>
      <c r="M45" s="3">
        <v>42</v>
      </c>
      <c r="N45" s="3"/>
      <c r="O45" s="3"/>
      <c r="P45" s="3"/>
    </row>
    <row r="46" spans="1:16" x14ac:dyDescent="0.35">
      <c r="A46" t="s">
        <v>13</v>
      </c>
      <c r="B46" s="3">
        <v>-9</v>
      </c>
      <c r="C46" s="3">
        <v>-18</v>
      </c>
      <c r="D46" s="3">
        <v>-13</v>
      </c>
      <c r="E46" s="3">
        <f t="shared" si="56"/>
        <v>-20</v>
      </c>
      <c r="F46" s="3">
        <v>-11</v>
      </c>
      <c r="G46" s="3">
        <v>-20</v>
      </c>
      <c r="H46" s="3">
        <v>-15</v>
      </c>
      <c r="I46" s="3"/>
      <c r="J46" s="4" t="s">
        <v>2</v>
      </c>
      <c r="K46" s="3"/>
      <c r="L46" s="3">
        <v>-70</v>
      </c>
      <c r="M46" s="3">
        <v>-60</v>
      </c>
      <c r="N46" s="3"/>
      <c r="O46" s="3"/>
      <c r="P46" s="3"/>
    </row>
    <row r="47" spans="1:16" s="2" customFormat="1" x14ac:dyDescent="0.35">
      <c r="A47" s="2" t="s">
        <v>94</v>
      </c>
      <c r="B47" s="4">
        <f t="shared" ref="B47" si="57">+B46+B45</f>
        <v>0</v>
      </c>
      <c r="C47" s="4">
        <f t="shared" ref="C47" si="58">+C46+C45</f>
        <v>-7</v>
      </c>
      <c r="D47" s="4">
        <f t="shared" ref="D47" si="59">+D46+D45</f>
        <v>-4</v>
      </c>
      <c r="E47" s="4">
        <f t="shared" ref="E47" si="60">+E46+E45</f>
        <v>-7</v>
      </c>
      <c r="F47" s="4">
        <f>+F46+F45</f>
        <v>2</v>
      </c>
      <c r="G47" s="4">
        <f t="shared" ref="G47" si="61">+G46+G45</f>
        <v>-7</v>
      </c>
      <c r="H47" s="4">
        <f t="shared" ref="H47" si="62">+H46+H45</f>
        <v>-2</v>
      </c>
      <c r="I47" s="4">
        <f t="shared" ref="I47" si="63">+I46+I45</f>
        <v>0</v>
      </c>
      <c r="J47" s="4" t="s">
        <v>2</v>
      </c>
      <c r="K47" s="4">
        <f t="shared" ref="K47" si="64">+K46+K45</f>
        <v>0</v>
      </c>
      <c r="L47" s="4">
        <f t="shared" ref="L47:M47" si="65">+L46+L45</f>
        <v>-35</v>
      </c>
      <c r="M47" s="4">
        <f t="shared" si="65"/>
        <v>-18</v>
      </c>
      <c r="N47" s="4">
        <f t="shared" ref="N47" si="66">+N46+N45</f>
        <v>0</v>
      </c>
      <c r="O47" s="4"/>
      <c r="P47" s="4"/>
    </row>
    <row r="48" spans="1:16" x14ac:dyDescent="0.35">
      <c r="A48" t="s">
        <v>15</v>
      </c>
      <c r="B48" s="3">
        <v>-105</v>
      </c>
      <c r="C48" s="3">
        <v>-147</v>
      </c>
      <c r="D48" s="3">
        <v>-178</v>
      </c>
      <c r="E48" s="3">
        <f t="shared" ref="E48:E52" si="67">+M48-SUM(B48:D48)</f>
        <v>-172</v>
      </c>
      <c r="F48" s="3">
        <v>-159</v>
      </c>
      <c r="G48" s="3">
        <v>-174</v>
      </c>
      <c r="H48" s="3">
        <v>-161</v>
      </c>
      <c r="I48" s="3"/>
      <c r="J48" s="4" t="s">
        <v>2</v>
      </c>
      <c r="K48" s="3"/>
      <c r="L48" s="3">
        <v>-377</v>
      </c>
      <c r="M48" s="3">
        <v>-602</v>
      </c>
      <c r="N48" s="3"/>
      <c r="O48" s="3"/>
      <c r="P48" s="3"/>
    </row>
    <row r="49" spans="1:16" x14ac:dyDescent="0.35">
      <c r="A49" t="s">
        <v>18</v>
      </c>
      <c r="B49" s="3">
        <v>5</v>
      </c>
      <c r="C49" s="3">
        <v>-6</v>
      </c>
      <c r="D49" s="3">
        <v>6</v>
      </c>
      <c r="E49" s="3">
        <f t="shared" si="67"/>
        <v>7</v>
      </c>
      <c r="F49" s="3">
        <v>-5</v>
      </c>
      <c r="G49" s="3">
        <v>6</v>
      </c>
      <c r="H49" s="3">
        <v>2</v>
      </c>
      <c r="I49" s="3"/>
      <c r="J49" s="4" t="s">
        <v>2</v>
      </c>
      <c r="K49" s="3"/>
      <c r="L49" s="3">
        <v>-5</v>
      </c>
      <c r="M49" s="3">
        <v>12</v>
      </c>
      <c r="N49" s="3"/>
      <c r="O49" s="3"/>
      <c r="P49" s="3"/>
    </row>
    <row r="50" spans="1:16" x14ac:dyDescent="0.35">
      <c r="A50" t="s">
        <v>95</v>
      </c>
      <c r="B50" s="3">
        <v>0</v>
      </c>
      <c r="C50" s="3">
        <v>1</v>
      </c>
      <c r="D50" s="3">
        <v>1</v>
      </c>
      <c r="E50" s="3">
        <f t="shared" si="67"/>
        <v>2</v>
      </c>
      <c r="F50" s="3">
        <v>1</v>
      </c>
      <c r="G50" s="3">
        <v>1</v>
      </c>
      <c r="H50" s="3">
        <v>0</v>
      </c>
      <c r="I50" s="3"/>
      <c r="J50" s="4" t="s">
        <v>2</v>
      </c>
      <c r="K50" s="3"/>
      <c r="L50" s="3">
        <v>-9</v>
      </c>
      <c r="M50" s="3">
        <v>4</v>
      </c>
      <c r="N50" s="3"/>
      <c r="O50" s="3"/>
      <c r="P50" s="3"/>
    </row>
    <row r="51" spans="1:16" x14ac:dyDescent="0.35">
      <c r="A51" t="s">
        <v>96</v>
      </c>
      <c r="B51" s="3">
        <v>20</v>
      </c>
      <c r="C51" s="3">
        <v>21</v>
      </c>
      <c r="D51" s="3">
        <v>-7</v>
      </c>
      <c r="E51" s="3">
        <f t="shared" si="67"/>
        <v>39</v>
      </c>
      <c r="F51" s="3">
        <v>33</v>
      </c>
      <c r="G51" s="3">
        <v>18</v>
      </c>
      <c r="H51" s="3">
        <v>23</v>
      </c>
      <c r="I51" s="3"/>
      <c r="J51" s="4" t="s">
        <v>2</v>
      </c>
      <c r="K51" s="3"/>
      <c r="L51" s="3">
        <v>84</v>
      </c>
      <c r="M51" s="3">
        <v>73</v>
      </c>
      <c r="N51" s="3"/>
      <c r="O51" s="3"/>
      <c r="P51" s="3"/>
    </row>
    <row r="52" spans="1:16" x14ac:dyDescent="0.35">
      <c r="A52" t="s">
        <v>97</v>
      </c>
      <c r="B52" s="3">
        <v>0</v>
      </c>
      <c r="C52" s="3">
        <v>-17</v>
      </c>
      <c r="D52" s="3">
        <v>0</v>
      </c>
      <c r="E52" s="3">
        <f t="shared" si="67"/>
        <v>0</v>
      </c>
      <c r="F52" s="3">
        <v>0</v>
      </c>
      <c r="G52" s="3">
        <v>1</v>
      </c>
      <c r="H52" s="3">
        <v>0</v>
      </c>
      <c r="I52" s="3"/>
      <c r="J52" s="4" t="s">
        <v>2</v>
      </c>
      <c r="K52" s="3"/>
      <c r="L52" s="3">
        <v>-55</v>
      </c>
      <c r="M52" s="3">
        <v>-17</v>
      </c>
      <c r="N52" s="3"/>
      <c r="O52" s="3"/>
      <c r="P52" s="3"/>
    </row>
    <row r="53" spans="1:16" s="2" customFormat="1" x14ac:dyDescent="0.35">
      <c r="A53" s="2" t="s">
        <v>98</v>
      </c>
      <c r="B53" s="4">
        <f t="shared" ref="B53" si="68">+SUM(B47:B52)</f>
        <v>-80</v>
      </c>
      <c r="C53" s="4">
        <f t="shared" ref="C53" si="69">+SUM(C47:C52)</f>
        <v>-155</v>
      </c>
      <c r="D53" s="4">
        <f t="shared" ref="D53" si="70">+SUM(D47:D52)</f>
        <v>-182</v>
      </c>
      <c r="E53" s="4">
        <f t="shared" ref="E53" si="71">+SUM(E47:E52)</f>
        <v>-131</v>
      </c>
      <c r="F53" s="4">
        <f>+SUM(F47:F52)</f>
        <v>-128</v>
      </c>
      <c r="G53" s="4">
        <f t="shared" ref="G53" si="72">+SUM(G47:G52)</f>
        <v>-155</v>
      </c>
      <c r="H53" s="4">
        <f t="shared" ref="H53" si="73">+SUM(H47:H52)</f>
        <v>-138</v>
      </c>
      <c r="I53" s="4">
        <f t="shared" ref="I53" si="74">+SUM(I47:I52)</f>
        <v>0</v>
      </c>
      <c r="J53" s="4" t="s">
        <v>2</v>
      </c>
      <c r="K53" s="4">
        <f t="shared" ref="K53" si="75">+SUM(K47:K52)</f>
        <v>0</v>
      </c>
      <c r="L53" s="4">
        <f t="shared" ref="L53:M53" si="76">+SUM(L47:L52)</f>
        <v>-397</v>
      </c>
      <c r="M53" s="4">
        <f t="shared" si="76"/>
        <v>-548</v>
      </c>
      <c r="N53" s="4">
        <f t="shared" ref="N53" si="77">+SUM(N47:N52)</f>
        <v>0</v>
      </c>
      <c r="O53" s="4"/>
      <c r="P53" s="4"/>
    </row>
    <row r="54" spans="1:16" x14ac:dyDescent="0.35">
      <c r="B54" s="3"/>
      <c r="C54" s="3"/>
      <c r="D54" s="3"/>
      <c r="E54" s="3"/>
      <c r="F54" s="3"/>
      <c r="G54" s="3"/>
      <c r="H54" s="3"/>
      <c r="I54" s="3"/>
      <c r="J54" s="4" t="s">
        <v>2</v>
      </c>
      <c r="K54" s="3"/>
      <c r="L54" s="3"/>
      <c r="M54" s="3"/>
      <c r="N54" s="3"/>
      <c r="O54" s="3"/>
      <c r="P54" s="3"/>
    </row>
    <row r="55" spans="1:16" x14ac:dyDescent="0.35">
      <c r="A55" s="2" t="s">
        <v>100</v>
      </c>
      <c r="B55" s="3"/>
      <c r="C55" s="3"/>
      <c r="D55" s="3"/>
      <c r="E55" s="3"/>
      <c r="F55" s="3"/>
      <c r="G55" s="3"/>
      <c r="H55" s="3"/>
      <c r="I55" s="3"/>
      <c r="J55" s="4" t="s">
        <v>2</v>
      </c>
      <c r="K55" s="3"/>
      <c r="L55" s="3"/>
      <c r="M55" s="3"/>
      <c r="N55" s="3"/>
      <c r="O55" s="3"/>
      <c r="P55" s="3"/>
    </row>
    <row r="56" spans="1:16" x14ac:dyDescent="0.35">
      <c r="A56" t="s">
        <v>93</v>
      </c>
      <c r="B56" s="3">
        <v>64</v>
      </c>
      <c r="C56" s="3">
        <v>72</v>
      </c>
      <c r="D56" s="3">
        <v>56</v>
      </c>
      <c r="E56" s="3">
        <f t="shared" ref="E56:E57" si="78">+M56-SUM(B56:D56)</f>
        <v>43</v>
      </c>
      <c r="F56" s="3">
        <v>43</v>
      </c>
      <c r="G56" s="3">
        <v>49</v>
      </c>
      <c r="H56" s="3">
        <v>38</v>
      </c>
      <c r="I56" s="3"/>
      <c r="J56" s="4" t="s">
        <v>2</v>
      </c>
      <c r="K56" s="3"/>
      <c r="L56" s="3">
        <v>259</v>
      </c>
      <c r="M56" s="3">
        <v>235</v>
      </c>
      <c r="N56" s="3"/>
      <c r="O56" s="3"/>
      <c r="P56" s="3"/>
    </row>
    <row r="57" spans="1:16" x14ac:dyDescent="0.35">
      <c r="A57" t="s">
        <v>13</v>
      </c>
      <c r="B57" s="3">
        <v>-64</v>
      </c>
      <c r="C57" s="3">
        <v>-70</v>
      </c>
      <c r="D57" s="3">
        <v>-54</v>
      </c>
      <c r="E57" s="3">
        <f t="shared" si="78"/>
        <v>-41</v>
      </c>
      <c r="F57" s="3">
        <v>-42</v>
      </c>
      <c r="G57" s="3">
        <v>-48</v>
      </c>
      <c r="H57" s="3">
        <v>-37</v>
      </c>
      <c r="I57" s="3"/>
      <c r="J57" s="4" t="s">
        <v>2</v>
      </c>
      <c r="K57" s="3"/>
      <c r="L57" s="3">
        <v>-250</v>
      </c>
      <c r="M57" s="3">
        <v>-229</v>
      </c>
      <c r="N57" s="3"/>
      <c r="O57" s="3"/>
      <c r="P57" s="3"/>
    </row>
    <row r="58" spans="1:16" s="2" customFormat="1" x14ac:dyDescent="0.35">
      <c r="A58" s="2" t="s">
        <v>94</v>
      </c>
      <c r="B58" s="4">
        <f t="shared" ref="B58" si="79">+B57+B56</f>
        <v>0</v>
      </c>
      <c r="C58" s="4">
        <f t="shared" ref="C58" si="80">+C57+C56</f>
        <v>2</v>
      </c>
      <c r="D58" s="4">
        <f t="shared" ref="D58" si="81">+D57+D56</f>
        <v>2</v>
      </c>
      <c r="E58" s="4">
        <f t="shared" ref="E58" si="82">+E57+E56</f>
        <v>2</v>
      </c>
      <c r="F58" s="4">
        <f>+F57+F56</f>
        <v>1</v>
      </c>
      <c r="G58" s="4">
        <f t="shared" ref="G58" si="83">+G57+G56</f>
        <v>1</v>
      </c>
      <c r="H58" s="4">
        <f t="shared" ref="H58" si="84">+H57+H56</f>
        <v>1</v>
      </c>
      <c r="I58" s="4">
        <f t="shared" ref="I58" si="85">+I57+I56</f>
        <v>0</v>
      </c>
      <c r="J58" s="4" t="s">
        <v>2</v>
      </c>
      <c r="K58" s="4">
        <f t="shared" ref="K58" si="86">+K57+K56</f>
        <v>0</v>
      </c>
      <c r="L58" s="4">
        <f t="shared" ref="L58:M58" si="87">+L57+L56</f>
        <v>9</v>
      </c>
      <c r="M58" s="4">
        <f t="shared" si="87"/>
        <v>6</v>
      </c>
      <c r="N58" s="4">
        <f t="shared" ref="N58" si="88">+N57+N56</f>
        <v>0</v>
      </c>
      <c r="O58" s="4"/>
      <c r="P58" s="4"/>
    </row>
    <row r="59" spans="1:16" x14ac:dyDescent="0.35">
      <c r="A59" t="s">
        <v>15</v>
      </c>
      <c r="B59" s="3">
        <v>0</v>
      </c>
      <c r="C59" s="3">
        <v>0</v>
      </c>
      <c r="D59" s="3">
        <v>-1</v>
      </c>
      <c r="E59" s="3">
        <f t="shared" ref="E59:E63" si="89">+M59-SUM(B59:D59)</f>
        <v>0</v>
      </c>
      <c r="F59" s="3">
        <v>0</v>
      </c>
      <c r="G59" s="3">
        <v>-1</v>
      </c>
      <c r="H59" s="3">
        <v>-1</v>
      </c>
      <c r="I59" s="3"/>
      <c r="J59" s="4" t="s">
        <v>2</v>
      </c>
      <c r="K59" s="3"/>
      <c r="L59" s="3">
        <v>-1</v>
      </c>
      <c r="M59" s="3">
        <v>-1</v>
      </c>
      <c r="N59" s="3"/>
      <c r="O59" s="3"/>
      <c r="P59" s="3"/>
    </row>
    <row r="60" spans="1:16" x14ac:dyDescent="0.35">
      <c r="A60" t="s">
        <v>18</v>
      </c>
      <c r="B60" s="3">
        <v>0</v>
      </c>
      <c r="C60" s="3">
        <v>0</v>
      </c>
      <c r="D60" s="3">
        <v>1</v>
      </c>
      <c r="E60" s="3">
        <f t="shared" si="89"/>
        <v>-1</v>
      </c>
      <c r="F60" s="3">
        <v>0</v>
      </c>
      <c r="G60" s="3">
        <v>0</v>
      </c>
      <c r="H60" s="3">
        <v>0</v>
      </c>
      <c r="I60" s="3"/>
      <c r="J60" s="4" t="s">
        <v>2</v>
      </c>
      <c r="K60" s="3"/>
      <c r="L60" s="3">
        <v>2</v>
      </c>
      <c r="M60" s="3">
        <v>0</v>
      </c>
      <c r="N60" s="3"/>
      <c r="O60" s="3"/>
      <c r="P60" s="3"/>
    </row>
    <row r="61" spans="1:16" x14ac:dyDescent="0.35">
      <c r="A61" t="s">
        <v>95</v>
      </c>
      <c r="B61" s="3">
        <v>0</v>
      </c>
      <c r="C61" s="3">
        <v>0</v>
      </c>
      <c r="D61" s="3">
        <v>0</v>
      </c>
      <c r="E61" s="3">
        <f t="shared" si="89"/>
        <v>0</v>
      </c>
      <c r="F61" s="3">
        <v>0</v>
      </c>
      <c r="G61" s="3">
        <v>0</v>
      </c>
      <c r="H61" s="3">
        <v>0</v>
      </c>
      <c r="I61" s="3"/>
      <c r="J61" s="4" t="s">
        <v>2</v>
      </c>
      <c r="K61" s="3"/>
      <c r="L61" s="3">
        <v>0</v>
      </c>
      <c r="M61" s="3">
        <v>0</v>
      </c>
      <c r="N61" s="3"/>
      <c r="O61" s="3"/>
      <c r="P61" s="3"/>
    </row>
    <row r="62" spans="1:16" x14ac:dyDescent="0.35">
      <c r="A62" t="s">
        <v>96</v>
      </c>
      <c r="B62" s="3">
        <v>0</v>
      </c>
      <c r="C62" s="3">
        <v>2</v>
      </c>
      <c r="D62" s="3">
        <v>0</v>
      </c>
      <c r="E62" s="3">
        <f t="shared" si="89"/>
        <v>0</v>
      </c>
      <c r="F62" s="3">
        <v>0</v>
      </c>
      <c r="G62" s="3">
        <v>0</v>
      </c>
      <c r="H62" s="3">
        <v>0</v>
      </c>
      <c r="I62" s="3"/>
      <c r="J62" s="4" t="s">
        <v>2</v>
      </c>
      <c r="K62" s="3"/>
      <c r="L62" s="3">
        <v>2</v>
      </c>
      <c r="M62" s="3">
        <v>2</v>
      </c>
      <c r="N62" s="3"/>
      <c r="O62" s="3"/>
      <c r="P62" s="3"/>
    </row>
    <row r="63" spans="1:16" x14ac:dyDescent="0.35">
      <c r="A63" t="s">
        <v>97</v>
      </c>
      <c r="B63" s="3">
        <v>19</v>
      </c>
      <c r="C63" s="3">
        <v>47</v>
      </c>
      <c r="D63" s="3">
        <v>53</v>
      </c>
      <c r="E63" s="3">
        <f t="shared" si="89"/>
        <v>38</v>
      </c>
      <c r="F63" s="3">
        <v>23</v>
      </c>
      <c r="G63" s="3">
        <v>-21</v>
      </c>
      <c r="H63" s="3">
        <v>6</v>
      </c>
      <c r="I63" s="3"/>
      <c r="J63" s="4" t="s">
        <v>2</v>
      </c>
      <c r="K63" s="3"/>
      <c r="L63" s="3">
        <v>93</v>
      </c>
      <c r="M63" s="3">
        <v>157</v>
      </c>
      <c r="N63" s="3"/>
      <c r="O63" s="3"/>
      <c r="P63" s="3"/>
    </row>
    <row r="64" spans="1:16" s="2" customFormat="1" x14ac:dyDescent="0.35">
      <c r="A64" s="2" t="s">
        <v>98</v>
      </c>
      <c r="B64" s="4">
        <f t="shared" ref="B64:I64" si="90">+SUM(B58:B63)</f>
        <v>19</v>
      </c>
      <c r="C64" s="4">
        <f t="shared" si="90"/>
        <v>51</v>
      </c>
      <c r="D64" s="4">
        <f t="shared" si="90"/>
        <v>55</v>
      </c>
      <c r="E64" s="4">
        <f t="shared" si="90"/>
        <v>39</v>
      </c>
      <c r="F64" s="4">
        <f t="shared" si="90"/>
        <v>24</v>
      </c>
      <c r="G64" s="4">
        <f t="shared" si="90"/>
        <v>-21</v>
      </c>
      <c r="H64" s="4">
        <f t="shared" si="90"/>
        <v>6</v>
      </c>
      <c r="I64" s="4">
        <f t="shared" si="90"/>
        <v>0</v>
      </c>
      <c r="J64" s="4" t="s">
        <v>2</v>
      </c>
      <c r="K64" s="4">
        <f>+SUM(K58:K63)</f>
        <v>0</v>
      </c>
      <c r="L64" s="4">
        <f>+SUM(L58:L63)</f>
        <v>105</v>
      </c>
      <c r="M64" s="4">
        <f>+SUM(M58:M63)</f>
        <v>164</v>
      </c>
      <c r="N64" s="4">
        <f>+SUM(N58:N63)</f>
        <v>0</v>
      </c>
      <c r="O64" s="4"/>
      <c r="P64" s="4"/>
    </row>
    <row r="65" spans="1:16" s="2" customFormat="1" x14ac:dyDescent="0.35">
      <c r="B65" s="4"/>
      <c r="C65" s="4"/>
      <c r="D65" s="4"/>
      <c r="E65" s="4"/>
      <c r="F65" s="4"/>
      <c r="G65" s="4"/>
      <c r="H65" s="4"/>
      <c r="I65" s="4"/>
      <c r="J65" s="4" t="s">
        <v>2</v>
      </c>
      <c r="K65" s="4"/>
      <c r="L65" s="4"/>
      <c r="M65" s="4"/>
      <c r="N65" s="4"/>
      <c r="O65" s="4"/>
      <c r="P65" s="4"/>
    </row>
    <row r="66" spans="1:16" s="2" customFormat="1" x14ac:dyDescent="0.35">
      <c r="A66" s="2" t="s">
        <v>149</v>
      </c>
      <c r="B66" s="4"/>
      <c r="C66" s="4"/>
      <c r="D66" s="4"/>
      <c r="E66" s="4"/>
      <c r="F66" s="4"/>
      <c r="G66" s="4"/>
      <c r="H66" s="4"/>
      <c r="I66" s="4"/>
      <c r="J66" s="4" t="s">
        <v>2</v>
      </c>
      <c r="K66" s="4">
        <f>+SUM(K67:K72)</f>
        <v>59152</v>
      </c>
      <c r="L66" s="4">
        <f t="shared" ref="L66:N66" si="91">+SUM(L67:L72)</f>
        <v>67232</v>
      </c>
      <c r="M66" s="4">
        <f t="shared" si="91"/>
        <v>59540</v>
      </c>
      <c r="N66" s="4">
        <f t="shared" si="91"/>
        <v>0</v>
      </c>
      <c r="O66" s="4"/>
      <c r="P66" s="4"/>
    </row>
    <row r="67" spans="1:16" x14ac:dyDescent="0.35">
      <c r="A67" t="s">
        <v>150</v>
      </c>
      <c r="B67" s="3"/>
      <c r="C67" s="3"/>
      <c r="D67" s="3"/>
      <c r="E67" s="3"/>
      <c r="F67" s="3"/>
      <c r="G67" s="3"/>
      <c r="H67" s="3"/>
      <c r="I67" s="3"/>
      <c r="J67" s="4" t="s">
        <v>2</v>
      </c>
      <c r="K67" s="3">
        <v>29610</v>
      </c>
      <c r="L67" s="3">
        <v>32804</v>
      </c>
      <c r="M67" s="3">
        <v>31298</v>
      </c>
      <c r="N67" s="3"/>
      <c r="O67" s="3"/>
      <c r="P67" s="3"/>
    </row>
    <row r="68" spans="1:16" x14ac:dyDescent="0.35">
      <c r="A68" t="s">
        <v>151</v>
      </c>
      <c r="B68" s="3"/>
      <c r="C68" s="3"/>
      <c r="D68" s="3"/>
      <c r="E68" s="3"/>
      <c r="F68" s="3"/>
      <c r="G68" s="3"/>
      <c r="H68" s="3"/>
      <c r="I68" s="3"/>
      <c r="J68" s="4" t="s">
        <v>2</v>
      </c>
      <c r="K68" s="3">
        <v>14026</v>
      </c>
      <c r="L68" s="3">
        <v>14896</v>
      </c>
      <c r="M68" s="3">
        <v>11466</v>
      </c>
      <c r="N68" s="3"/>
      <c r="O68" s="3"/>
      <c r="P68" s="3"/>
    </row>
    <row r="69" spans="1:16" x14ac:dyDescent="0.35">
      <c r="A69" t="s">
        <v>152</v>
      </c>
      <c r="B69" s="3"/>
      <c r="C69" s="3"/>
      <c r="D69" s="3"/>
      <c r="E69" s="3"/>
      <c r="F69" s="3"/>
      <c r="G69" s="3"/>
      <c r="H69" s="3"/>
      <c r="I69" s="3"/>
      <c r="J69" s="4" t="s">
        <v>2</v>
      </c>
      <c r="K69" s="3">
        <v>13332</v>
      </c>
      <c r="L69" s="3">
        <v>16850</v>
      </c>
      <c r="M69" s="3">
        <v>14603</v>
      </c>
      <c r="N69" s="3"/>
      <c r="O69" s="3"/>
      <c r="P69" s="3"/>
    </row>
    <row r="70" spans="1:16" x14ac:dyDescent="0.35">
      <c r="A70" t="s">
        <v>153</v>
      </c>
      <c r="B70" s="3"/>
      <c r="C70" s="3"/>
      <c r="D70" s="3"/>
      <c r="E70" s="3"/>
      <c r="F70" s="3"/>
      <c r="G70" s="3"/>
      <c r="H70" s="3"/>
      <c r="I70" s="3"/>
      <c r="J70" s="4" t="s">
        <v>2</v>
      </c>
      <c r="K70" s="3">
        <v>1909</v>
      </c>
      <c r="L70" s="3">
        <v>2388</v>
      </c>
      <c r="M70" s="3">
        <v>1896</v>
      </c>
      <c r="N70" s="3"/>
      <c r="O70" s="3"/>
      <c r="P70" s="3"/>
    </row>
    <row r="71" spans="1:16" x14ac:dyDescent="0.35">
      <c r="A71" t="s">
        <v>154</v>
      </c>
      <c r="B71" s="3"/>
      <c r="C71" s="3"/>
      <c r="D71" s="3"/>
      <c r="E71" s="3"/>
      <c r="F71" s="3"/>
      <c r="G71" s="3"/>
      <c r="H71" s="3"/>
      <c r="I71" s="3"/>
      <c r="J71" s="4" t="s">
        <v>2</v>
      </c>
      <c r="K71" s="3">
        <v>270</v>
      </c>
      <c r="L71" s="3">
        <v>259</v>
      </c>
      <c r="M71" s="3">
        <v>235</v>
      </c>
      <c r="N71" s="3"/>
      <c r="O71" s="3"/>
      <c r="P71" s="3"/>
    </row>
    <row r="72" spans="1:16" x14ac:dyDescent="0.35">
      <c r="A72" t="s">
        <v>155</v>
      </c>
      <c r="B72" s="3"/>
      <c r="C72" s="3"/>
      <c r="D72" s="3"/>
      <c r="E72" s="3"/>
      <c r="F72" s="3"/>
      <c r="G72" s="3"/>
      <c r="H72" s="3"/>
      <c r="I72" s="3"/>
      <c r="J72" s="4" t="s">
        <v>2</v>
      </c>
      <c r="K72" s="3">
        <v>5</v>
      </c>
      <c r="L72" s="3">
        <v>35</v>
      </c>
      <c r="M72" s="3">
        <v>42</v>
      </c>
      <c r="N72" s="3"/>
      <c r="O72" s="3"/>
      <c r="P72" s="3"/>
    </row>
    <row r="73" spans="1:16" s="2" customFormat="1" x14ac:dyDescent="0.35">
      <c r="B73" s="4"/>
      <c r="C73" s="4"/>
      <c r="D73" s="4"/>
      <c r="E73" s="4"/>
      <c r="F73" s="4"/>
      <c r="G73" s="4"/>
      <c r="H73" s="4"/>
      <c r="I73" s="4"/>
      <c r="J73" s="4" t="s">
        <v>2</v>
      </c>
      <c r="K73" s="4"/>
      <c r="L73" s="4"/>
      <c r="M73" s="4"/>
      <c r="N73" s="4"/>
      <c r="O73" s="4"/>
      <c r="P73" s="4"/>
    </row>
    <row r="74" spans="1:16" s="2" customFormat="1" x14ac:dyDescent="0.35">
      <c r="A74" s="2" t="s">
        <v>156</v>
      </c>
      <c r="B74" s="4"/>
      <c r="C74" s="4"/>
      <c r="D74" s="4"/>
      <c r="E74" s="4"/>
      <c r="F74" s="4"/>
      <c r="G74" s="4"/>
      <c r="H74" s="4"/>
      <c r="I74" s="4"/>
      <c r="J74" s="4" t="s">
        <v>2</v>
      </c>
      <c r="K74" s="4">
        <f>+SUM(K75:K81)</f>
        <v>59152</v>
      </c>
      <c r="L74" s="4">
        <f t="shared" ref="L74:N74" si="92">+SUM(L75:L81)</f>
        <v>67232</v>
      </c>
      <c r="M74" s="4">
        <f t="shared" si="92"/>
        <v>59540</v>
      </c>
      <c r="N74" s="4">
        <f t="shared" si="92"/>
        <v>0</v>
      </c>
      <c r="O74" s="4"/>
      <c r="P74" s="4"/>
    </row>
    <row r="75" spans="1:16" x14ac:dyDescent="0.35">
      <c r="A75" t="s">
        <v>157</v>
      </c>
      <c r="B75" s="3"/>
      <c r="C75" s="3"/>
      <c r="D75" s="3"/>
      <c r="E75" s="3"/>
      <c r="F75" s="3"/>
      <c r="G75" s="3"/>
      <c r="H75" s="3"/>
      <c r="I75" s="3"/>
      <c r="J75" s="4" t="s">
        <v>2</v>
      </c>
      <c r="K75" s="3">
        <v>22249</v>
      </c>
      <c r="L75" s="3">
        <v>26089</v>
      </c>
      <c r="M75" s="3">
        <v>24333</v>
      </c>
      <c r="N75" s="3"/>
      <c r="O75" s="3"/>
      <c r="P75" s="3"/>
    </row>
    <row r="76" spans="1:16" x14ac:dyDescent="0.35">
      <c r="A76" t="s">
        <v>158</v>
      </c>
      <c r="B76" s="3"/>
      <c r="C76" s="3"/>
      <c r="D76" s="3"/>
      <c r="E76" s="3"/>
      <c r="F76" s="3"/>
      <c r="G76" s="3"/>
      <c r="H76" s="3"/>
      <c r="I76" s="3"/>
      <c r="J76" s="4" t="s">
        <v>2</v>
      </c>
      <c r="K76" s="3">
        <v>14660</v>
      </c>
      <c r="L76" s="3">
        <v>16939</v>
      </c>
      <c r="M76" s="3">
        <v>15819</v>
      </c>
      <c r="N76" s="3"/>
      <c r="O76" s="3"/>
      <c r="P76" s="3"/>
    </row>
    <row r="77" spans="1:16" x14ac:dyDescent="0.35">
      <c r="A77" t="s">
        <v>159</v>
      </c>
      <c r="B77" s="3"/>
      <c r="C77" s="3"/>
      <c r="D77" s="3"/>
      <c r="E77" s="3"/>
      <c r="F77" s="3"/>
      <c r="G77" s="3"/>
      <c r="H77" s="3"/>
      <c r="I77" s="3"/>
      <c r="J77" s="4" t="s">
        <v>2</v>
      </c>
      <c r="K77" s="3">
        <v>12334</v>
      </c>
      <c r="L77" s="3">
        <v>13829</v>
      </c>
      <c r="M77" s="3">
        <v>10098</v>
      </c>
      <c r="N77" s="3"/>
      <c r="O77" s="3"/>
      <c r="P77" s="3"/>
    </row>
    <row r="78" spans="1:16" x14ac:dyDescent="0.35">
      <c r="A78" t="s">
        <v>160</v>
      </c>
      <c r="B78" s="3"/>
      <c r="C78" s="3"/>
      <c r="D78" s="3"/>
      <c r="E78" s="3"/>
      <c r="F78" s="3"/>
      <c r="G78" s="3"/>
      <c r="H78" s="3"/>
      <c r="I78" s="3"/>
      <c r="J78" s="4" t="s">
        <v>2</v>
      </c>
      <c r="K78" s="3">
        <v>4520</v>
      </c>
      <c r="L78" s="3">
        <v>5487</v>
      </c>
      <c r="M78" s="3">
        <v>4771</v>
      </c>
      <c r="N78" s="3"/>
      <c r="O78" s="3"/>
      <c r="P78" s="3"/>
    </row>
    <row r="79" spans="1:16" x14ac:dyDescent="0.35">
      <c r="A79" t="s">
        <v>161</v>
      </c>
      <c r="B79" s="3"/>
      <c r="C79" s="3"/>
      <c r="D79" s="3"/>
      <c r="E79" s="3"/>
      <c r="F79" s="3"/>
      <c r="G79" s="3"/>
      <c r="H79" s="3"/>
      <c r="I79" s="3"/>
      <c r="J79" s="4" t="s">
        <v>2</v>
      </c>
      <c r="K79" s="3">
        <v>2669</v>
      </c>
      <c r="L79" s="3">
        <v>1576</v>
      </c>
      <c r="M79" s="3">
        <v>1386</v>
      </c>
      <c r="N79" s="3"/>
      <c r="O79" s="3"/>
      <c r="P79" s="3"/>
    </row>
    <row r="80" spans="1:16" x14ac:dyDescent="0.35">
      <c r="A80" t="s">
        <v>162</v>
      </c>
      <c r="B80" s="3"/>
      <c r="C80" s="3"/>
      <c r="D80" s="3"/>
      <c r="E80" s="3"/>
      <c r="F80" s="3"/>
      <c r="G80" s="3"/>
      <c r="H80" s="3"/>
      <c r="I80" s="3"/>
      <c r="J80" s="4" t="s">
        <v>2</v>
      </c>
      <c r="K80" s="3">
        <v>1839</v>
      </c>
      <c r="L80" s="3">
        <v>2431</v>
      </c>
      <c r="M80" s="3">
        <v>2606</v>
      </c>
      <c r="N80" s="3"/>
      <c r="O80" s="3"/>
      <c r="P80" s="3"/>
    </row>
    <row r="81" spans="1:16" x14ac:dyDescent="0.35">
      <c r="A81" t="s">
        <v>163</v>
      </c>
      <c r="B81" s="3"/>
      <c r="C81" s="3"/>
      <c r="D81" s="3"/>
      <c r="E81" s="3"/>
      <c r="F81" s="3"/>
      <c r="G81" s="3"/>
      <c r="H81" s="3"/>
      <c r="I81" s="3"/>
      <c r="J81" s="4" t="s">
        <v>2</v>
      </c>
      <c r="K81" s="3">
        <v>881</v>
      </c>
      <c r="L81" s="3">
        <v>881</v>
      </c>
      <c r="M81" s="3">
        <v>527</v>
      </c>
      <c r="N81" s="3"/>
      <c r="O81" s="3"/>
      <c r="P81" s="3"/>
    </row>
    <row r="82" spans="1:16" x14ac:dyDescent="0.35">
      <c r="B82" s="3"/>
      <c r="C82" s="3"/>
      <c r="D82" s="3"/>
      <c r="E82" s="3"/>
      <c r="F82" s="3"/>
      <c r="G82" s="3"/>
      <c r="H82" s="3"/>
      <c r="I82" s="3"/>
      <c r="J82" s="4" t="s">
        <v>2</v>
      </c>
      <c r="K82" s="3"/>
      <c r="L82" s="3"/>
      <c r="M82" s="3"/>
      <c r="N82" s="3"/>
      <c r="O82" s="3"/>
      <c r="P82" s="3"/>
    </row>
    <row r="83" spans="1:16" s="2" customFormat="1" x14ac:dyDescent="0.35">
      <c r="B83" s="2" t="str">
        <f t="shared" ref="B83:N83" si="93">B31</f>
        <v>Q123</v>
      </c>
      <c r="C83" s="2" t="str">
        <f t="shared" si="93"/>
        <v>Q223</v>
      </c>
      <c r="D83" s="2" t="str">
        <f t="shared" si="93"/>
        <v>Q323</v>
      </c>
      <c r="E83" s="2" t="str">
        <f t="shared" si="93"/>
        <v>Q423</v>
      </c>
      <c r="F83" s="2" t="str">
        <f t="shared" si="93"/>
        <v>Q124</v>
      </c>
      <c r="G83" s="2" t="str">
        <f t="shared" si="93"/>
        <v>Q224</v>
      </c>
      <c r="H83" s="2" t="str">
        <f t="shared" si="93"/>
        <v>Q324</v>
      </c>
      <c r="I83" s="2" t="str">
        <f t="shared" si="93"/>
        <v>Q424</v>
      </c>
      <c r="J83" s="2" t="str">
        <f t="shared" si="93"/>
        <v>xxx</v>
      </c>
      <c r="K83" s="2">
        <f t="shared" si="93"/>
        <v>2021</v>
      </c>
      <c r="L83" s="2">
        <f t="shared" si="93"/>
        <v>2022</v>
      </c>
      <c r="M83" s="2">
        <f t="shared" si="93"/>
        <v>2023</v>
      </c>
      <c r="N83" s="2">
        <f t="shared" si="93"/>
        <v>2024</v>
      </c>
    </row>
    <row r="84" spans="1:16" x14ac:dyDescent="0.35">
      <c r="A84" t="s">
        <v>12</v>
      </c>
      <c r="B84" s="3">
        <v>15328</v>
      </c>
      <c r="C84" s="3">
        <v>15049</v>
      </c>
      <c r="D84" s="3">
        <v>14227</v>
      </c>
      <c r="E84" s="3">
        <f t="shared" ref="E84:E85" si="94">+M84-SUM(B84:D84)</f>
        <v>14936</v>
      </c>
      <c r="F84" s="3">
        <v>13417</v>
      </c>
      <c r="G84" s="3">
        <v>13241</v>
      </c>
      <c r="H84" s="3">
        <v>12908</v>
      </c>
      <c r="I84" s="3"/>
      <c r="J84" s="4" t="s">
        <v>2</v>
      </c>
      <c r="K84" s="3">
        <v>59152</v>
      </c>
      <c r="L84" s="3">
        <v>67232</v>
      </c>
      <c r="M84" s="3">
        <v>59540</v>
      </c>
      <c r="N84" s="3"/>
    </row>
    <row r="85" spans="1:16" x14ac:dyDescent="0.35">
      <c r="A85" t="s">
        <v>13</v>
      </c>
      <c r="B85" s="3">
        <v>14147</v>
      </c>
      <c r="C85" s="3">
        <v>13684</v>
      </c>
      <c r="D85" s="3">
        <v>13182</v>
      </c>
      <c r="E85" s="3">
        <f t="shared" si="94"/>
        <v>13682</v>
      </c>
      <c r="F85" s="3">
        <v>12541</v>
      </c>
      <c r="G85" s="3">
        <v>12577</v>
      </c>
      <c r="H85" s="3">
        <v>12136</v>
      </c>
      <c r="I85" s="3"/>
      <c r="J85" s="4" t="s">
        <v>2</v>
      </c>
      <c r="K85" s="3">
        <v>55789</v>
      </c>
      <c r="L85" s="3">
        <v>63550</v>
      </c>
      <c r="M85" s="3">
        <v>54695</v>
      </c>
      <c r="N85" s="3"/>
    </row>
    <row r="86" spans="1:16" s="2" customFormat="1" x14ac:dyDescent="0.35">
      <c r="A86" s="2" t="s">
        <v>14</v>
      </c>
      <c r="B86" s="4">
        <f>+B84-B85</f>
        <v>1181</v>
      </c>
      <c r="C86" s="4">
        <f t="shared" ref="C86:N86" si="95">+C84-C85</f>
        <v>1365</v>
      </c>
      <c r="D86" s="4">
        <f t="shared" si="95"/>
        <v>1045</v>
      </c>
      <c r="E86" s="4">
        <f t="shared" si="95"/>
        <v>1254</v>
      </c>
      <c r="F86" s="4">
        <f t="shared" si="95"/>
        <v>876</v>
      </c>
      <c r="G86" s="4">
        <f t="shared" si="95"/>
        <v>664</v>
      </c>
      <c r="H86" s="4">
        <f t="shared" si="95"/>
        <v>772</v>
      </c>
      <c r="I86" s="4">
        <f t="shared" si="95"/>
        <v>0</v>
      </c>
      <c r="J86" s="4" t="s">
        <v>2</v>
      </c>
      <c r="K86" s="4">
        <f t="shared" ref="K86:L86" si="96">+K84-K85</f>
        <v>3363</v>
      </c>
      <c r="L86" s="4">
        <f t="shared" si="96"/>
        <v>3682</v>
      </c>
      <c r="M86" s="4">
        <f t="shared" si="95"/>
        <v>4845</v>
      </c>
      <c r="N86" s="4">
        <f t="shared" si="95"/>
        <v>0</v>
      </c>
    </row>
    <row r="87" spans="1:16" x14ac:dyDescent="0.35">
      <c r="A87" t="s">
        <v>15</v>
      </c>
      <c r="B87" s="3">
        <v>-353</v>
      </c>
      <c r="C87" s="3">
        <v>-420</v>
      </c>
      <c r="D87" s="3">
        <v>-447</v>
      </c>
      <c r="E87" s="3">
        <f t="shared" ref="E87:E92" si="97">+M87-SUM(B87:D87)</f>
        <v>-495</v>
      </c>
      <c r="F87" s="3">
        <v>-439</v>
      </c>
      <c r="G87" s="3">
        <v>-449</v>
      </c>
      <c r="H87" s="3">
        <v>-437</v>
      </c>
      <c r="I87" s="3"/>
      <c r="J87" s="4" t="s">
        <v>2</v>
      </c>
      <c r="K87" s="3">
        <v>-1234</v>
      </c>
      <c r="L87" s="3">
        <v>-1369</v>
      </c>
      <c r="M87" s="3">
        <v>-1715</v>
      </c>
      <c r="N87" s="3"/>
    </row>
    <row r="88" spans="1:16" x14ac:dyDescent="0.35">
      <c r="A88" t="s">
        <v>16</v>
      </c>
      <c r="B88" s="3">
        <v>43</v>
      </c>
      <c r="C88" s="3">
        <v>40</v>
      </c>
      <c r="D88" s="3">
        <v>38</v>
      </c>
      <c r="E88" s="3">
        <f t="shared" si="97"/>
        <v>27</v>
      </c>
      <c r="F88" s="3">
        <v>42</v>
      </c>
      <c r="G88" s="3">
        <v>37</v>
      </c>
      <c r="H88" s="3">
        <v>33</v>
      </c>
      <c r="I88" s="3"/>
      <c r="J88" s="4" t="s">
        <v>2</v>
      </c>
      <c r="K88" s="3">
        <v>48</v>
      </c>
      <c r="L88" s="3">
        <v>71</v>
      </c>
      <c r="M88" s="3">
        <v>148</v>
      </c>
      <c r="N88" s="3"/>
    </row>
    <row r="89" spans="1:16" x14ac:dyDescent="0.35">
      <c r="A89" t="s">
        <v>17</v>
      </c>
      <c r="B89" s="3">
        <v>-112</v>
      </c>
      <c r="C89" s="3">
        <v>-129</v>
      </c>
      <c r="D89" s="3">
        <v>-133</v>
      </c>
      <c r="E89" s="3">
        <f t="shared" si="97"/>
        <v>-142</v>
      </c>
      <c r="F89" s="3">
        <v>-108</v>
      </c>
      <c r="G89" s="3">
        <v>-123</v>
      </c>
      <c r="H89" s="3">
        <v>-127</v>
      </c>
      <c r="I89" s="3"/>
      <c r="J89" s="4" t="s">
        <v>2</v>
      </c>
      <c r="K89" s="3">
        <v>-243</v>
      </c>
      <c r="L89" s="3">
        <v>-403</v>
      </c>
      <c r="M89" s="3">
        <v>-516</v>
      </c>
      <c r="N89" s="3"/>
    </row>
    <row r="90" spans="1:16" x14ac:dyDescent="0.35">
      <c r="A90" t="s">
        <v>18</v>
      </c>
      <c r="B90" s="3">
        <v>49</v>
      </c>
      <c r="C90" s="3">
        <v>-66</v>
      </c>
      <c r="D90" s="3">
        <v>-47</v>
      </c>
      <c r="E90" s="3">
        <f t="shared" si="97"/>
        <v>84</v>
      </c>
      <c r="F90" s="3">
        <v>-78</v>
      </c>
      <c r="G90" s="3">
        <v>-37</v>
      </c>
      <c r="H90" s="3">
        <v>14</v>
      </c>
      <c r="I90" s="3"/>
      <c r="J90" s="4" t="s">
        <v>2</v>
      </c>
      <c r="K90" s="3">
        <v>-38</v>
      </c>
      <c r="L90" s="3">
        <v>-11</v>
      </c>
      <c r="M90" s="3">
        <v>20</v>
      </c>
      <c r="N90" s="3"/>
    </row>
    <row r="91" spans="1:16" x14ac:dyDescent="0.35">
      <c r="A91" t="s">
        <v>19</v>
      </c>
      <c r="B91" s="3">
        <v>15</v>
      </c>
      <c r="C91" s="3">
        <v>12</v>
      </c>
      <c r="D91" s="3">
        <v>8</v>
      </c>
      <c r="E91" s="3">
        <f t="shared" si="97"/>
        <v>94</v>
      </c>
      <c r="F91" s="3">
        <v>68</v>
      </c>
      <c r="G91" s="3">
        <v>57</v>
      </c>
      <c r="H91" s="3">
        <v>87</v>
      </c>
      <c r="I91" s="3"/>
      <c r="J91" s="4" t="s">
        <v>2</v>
      </c>
      <c r="K91" s="3">
        <v>509</v>
      </c>
      <c r="L91" s="3">
        <v>-9</v>
      </c>
      <c r="M91" s="3">
        <v>129</v>
      </c>
      <c r="N91" s="3"/>
    </row>
    <row r="92" spans="1:16" x14ac:dyDescent="0.35">
      <c r="A92" t="s">
        <v>20</v>
      </c>
      <c r="B92" s="3">
        <v>19</v>
      </c>
      <c r="C92" s="3">
        <v>25</v>
      </c>
      <c r="D92" s="3">
        <v>39</v>
      </c>
      <c r="E92" s="3">
        <f t="shared" si="97"/>
        <v>57</v>
      </c>
      <c r="F92" s="3">
        <v>8</v>
      </c>
      <c r="G92" s="3">
        <v>-46</v>
      </c>
      <c r="H92" s="3">
        <v>-20</v>
      </c>
      <c r="I92" s="3"/>
      <c r="J92" s="4" t="s">
        <v>2</v>
      </c>
      <c r="K92" s="3">
        <v>160</v>
      </c>
      <c r="L92" s="3">
        <v>105</v>
      </c>
      <c r="M92" s="3">
        <v>140</v>
      </c>
      <c r="N92" s="3"/>
    </row>
    <row r="93" spans="1:16" s="2" customFormat="1" x14ac:dyDescent="0.35">
      <c r="A93" s="2" t="s">
        <v>21</v>
      </c>
      <c r="B93" s="4">
        <f>+SUM(B86:B92)</f>
        <v>842</v>
      </c>
      <c r="C93" s="4">
        <f t="shared" ref="C93:N93" si="98">+SUM(C86:C92)</f>
        <v>827</v>
      </c>
      <c r="D93" s="4">
        <f t="shared" si="98"/>
        <v>503</v>
      </c>
      <c r="E93" s="4">
        <f t="shared" si="98"/>
        <v>879</v>
      </c>
      <c r="F93" s="4">
        <f t="shared" si="98"/>
        <v>369</v>
      </c>
      <c r="G93" s="4">
        <f t="shared" si="98"/>
        <v>103</v>
      </c>
      <c r="H93" s="4">
        <f t="shared" si="98"/>
        <v>322</v>
      </c>
      <c r="I93" s="4">
        <f t="shared" si="98"/>
        <v>0</v>
      </c>
      <c r="J93" s="4" t="s">
        <v>2</v>
      </c>
      <c r="K93" s="4">
        <f t="shared" ref="K93:L93" si="99">+SUM(K86:K92)</f>
        <v>2565</v>
      </c>
      <c r="L93" s="4">
        <f t="shared" si="99"/>
        <v>2066</v>
      </c>
      <c r="M93" s="4">
        <f t="shared" si="98"/>
        <v>3051</v>
      </c>
      <c r="N93" s="4">
        <f t="shared" si="98"/>
        <v>0</v>
      </c>
    </row>
    <row r="94" spans="1:16" x14ac:dyDescent="0.35">
      <c r="A94" t="s">
        <v>22</v>
      </c>
      <c r="B94" s="3">
        <v>-183</v>
      </c>
      <c r="C94" s="3">
        <v>-198</v>
      </c>
      <c r="D94" s="3">
        <v>-114</v>
      </c>
      <c r="E94" s="3">
        <f t="shared" ref="E94" si="100">+M94-SUM(B94:D94)</f>
        <v>-219</v>
      </c>
      <c r="F94" s="3">
        <v>-117</v>
      </c>
      <c r="G94" s="3">
        <v>-30</v>
      </c>
      <c r="H94" s="3">
        <v>-89</v>
      </c>
      <c r="I94" s="3"/>
      <c r="J94" s="4" t="s">
        <v>2</v>
      </c>
      <c r="K94" s="3">
        <v>-398</v>
      </c>
      <c r="L94" s="3">
        <v>-388</v>
      </c>
      <c r="M94" s="3">
        <v>-714</v>
      </c>
      <c r="N94" s="3"/>
    </row>
    <row r="95" spans="1:16" s="2" customFormat="1" x14ac:dyDescent="0.35">
      <c r="A95" s="2" t="s">
        <v>23</v>
      </c>
      <c r="B95" s="4">
        <f>+B93+B94</f>
        <v>659</v>
      </c>
      <c r="C95" s="4">
        <f t="shared" ref="C95:I95" si="101">+C93+C94</f>
        <v>629</v>
      </c>
      <c r="D95" s="4">
        <f t="shared" si="101"/>
        <v>389</v>
      </c>
      <c r="E95" s="4">
        <f t="shared" si="101"/>
        <v>660</v>
      </c>
      <c r="F95" s="4">
        <f t="shared" si="101"/>
        <v>252</v>
      </c>
      <c r="G95" s="4">
        <f t="shared" si="101"/>
        <v>73</v>
      </c>
      <c r="H95" s="4">
        <f t="shared" si="101"/>
        <v>233</v>
      </c>
      <c r="I95" s="4">
        <f t="shared" si="101"/>
        <v>0</v>
      </c>
      <c r="J95" s="4" t="s">
        <v>2</v>
      </c>
      <c r="K95" s="4">
        <f t="shared" ref="K95:L95" si="102">+K93+K94</f>
        <v>2167</v>
      </c>
      <c r="L95" s="4">
        <f t="shared" si="102"/>
        <v>1678</v>
      </c>
      <c r="M95" s="4">
        <f t="shared" ref="M95:N95" si="103">+M93+M94</f>
        <v>2337</v>
      </c>
      <c r="N95" s="4">
        <f t="shared" si="103"/>
        <v>0</v>
      </c>
    </row>
    <row r="96" spans="1:16" x14ac:dyDescent="0.35">
      <c r="A96" t="s">
        <v>24</v>
      </c>
      <c r="B96" s="3">
        <v>-27</v>
      </c>
      <c r="C96" s="3">
        <v>-7</v>
      </c>
      <c r="D96" s="3">
        <v>-16</v>
      </c>
      <c r="E96" s="3">
        <f t="shared" ref="E96" si="104">+M96-SUM(B96:D96)</f>
        <v>-44</v>
      </c>
      <c r="F96" s="3">
        <v>-8</v>
      </c>
      <c r="G96" s="3">
        <v>-3</v>
      </c>
      <c r="H96" s="3">
        <v>-12</v>
      </c>
      <c r="I96" s="3"/>
      <c r="J96" s="4" t="s">
        <v>2</v>
      </c>
      <c r="K96" s="3">
        <v>-89</v>
      </c>
      <c r="L96" s="3">
        <v>-68</v>
      </c>
      <c r="M96" s="3">
        <v>-94</v>
      </c>
      <c r="N96" s="3"/>
    </row>
    <row r="97" spans="1:14" s="2" customFormat="1" x14ac:dyDescent="0.35">
      <c r="A97" s="2" t="s">
        <v>25</v>
      </c>
      <c r="B97" s="4">
        <f>+B95+B96</f>
        <v>632</v>
      </c>
      <c r="C97" s="4">
        <f t="shared" ref="C97:N97" si="105">+C95+C96</f>
        <v>622</v>
      </c>
      <c r="D97" s="4">
        <f t="shared" si="105"/>
        <v>373</v>
      </c>
      <c r="E97" s="4">
        <f t="shared" si="105"/>
        <v>616</v>
      </c>
      <c r="F97" s="4">
        <f t="shared" si="105"/>
        <v>244</v>
      </c>
      <c r="G97" s="4">
        <f t="shared" si="105"/>
        <v>70</v>
      </c>
      <c r="H97" s="4">
        <f t="shared" si="105"/>
        <v>221</v>
      </c>
      <c r="I97" s="4">
        <f t="shared" si="105"/>
        <v>0</v>
      </c>
      <c r="J97" s="4" t="s">
        <v>2</v>
      </c>
      <c r="K97" s="4">
        <f t="shared" ref="K97:L97" si="106">+K95+K96</f>
        <v>2078</v>
      </c>
      <c r="L97" s="4">
        <f t="shared" si="106"/>
        <v>1610</v>
      </c>
      <c r="M97" s="4">
        <f t="shared" si="105"/>
        <v>2243</v>
      </c>
      <c r="N97" s="4">
        <f t="shared" si="105"/>
        <v>0</v>
      </c>
    </row>
    <row r="98" spans="1:14" x14ac:dyDescent="0.35">
      <c r="A98" t="s">
        <v>129</v>
      </c>
      <c r="B98" s="3"/>
      <c r="C98" s="3"/>
      <c r="D98" s="3"/>
      <c r="E98" s="3"/>
      <c r="F98" s="3"/>
      <c r="G98" s="3"/>
      <c r="H98" s="3"/>
      <c r="I98" s="3"/>
      <c r="J98" s="4" t="s">
        <v>2</v>
      </c>
      <c r="K98" s="3">
        <v>-34</v>
      </c>
      <c r="L98" s="3">
        <v>0</v>
      </c>
      <c r="M98" s="3">
        <v>0</v>
      </c>
      <c r="N98" s="3"/>
    </row>
    <row r="99" spans="1:14" s="2" customFormat="1" x14ac:dyDescent="0.35">
      <c r="A99" s="2" t="s">
        <v>130</v>
      </c>
      <c r="B99" s="4"/>
      <c r="C99" s="4"/>
      <c r="D99" s="4"/>
      <c r="E99" s="3"/>
      <c r="F99" s="4"/>
      <c r="G99" s="4"/>
      <c r="H99" s="4"/>
      <c r="I99" s="4"/>
      <c r="J99" s="4" t="s">
        <v>2</v>
      </c>
      <c r="K99" s="4">
        <f>+K97+K98</f>
        <v>2044</v>
      </c>
      <c r="L99" s="4">
        <f t="shared" ref="L99:N99" si="107">+L97+L98</f>
        <v>1610</v>
      </c>
      <c r="M99" s="4">
        <f t="shared" si="107"/>
        <v>2243</v>
      </c>
      <c r="N99" s="4">
        <f t="shared" si="107"/>
        <v>0</v>
      </c>
    </row>
    <row r="100" spans="1:14" x14ac:dyDescent="0.35">
      <c r="J100" s="2" t="s">
        <v>2</v>
      </c>
    </row>
    <row r="101" spans="1:14" x14ac:dyDescent="0.35">
      <c r="A101" s="2" t="s">
        <v>26</v>
      </c>
      <c r="B101">
        <v>150</v>
      </c>
      <c r="F101">
        <v>143.5</v>
      </c>
      <c r="J101" s="2" t="s">
        <v>2</v>
      </c>
    </row>
    <row r="102" spans="1:14" s="2" customFormat="1" x14ac:dyDescent="0.35">
      <c r="A102" s="2" t="s">
        <v>27</v>
      </c>
      <c r="B102">
        <v>152</v>
      </c>
      <c r="C102"/>
      <c r="D102"/>
      <c r="E102"/>
      <c r="F102">
        <v>145.4</v>
      </c>
      <c r="G102"/>
      <c r="H102"/>
      <c r="I102"/>
      <c r="J102" s="2" t="s">
        <v>2</v>
      </c>
      <c r="K102"/>
      <c r="L102"/>
      <c r="M102"/>
      <c r="N102"/>
    </row>
    <row r="103" spans="1:14" x14ac:dyDescent="0.35">
      <c r="A103" s="2" t="s">
        <v>28</v>
      </c>
      <c r="B103" s="6">
        <f t="shared" ref="B103:I103" si="108">B97/B101</f>
        <v>4.2133333333333329</v>
      </c>
      <c r="C103" s="6" t="e">
        <f t="shared" si="108"/>
        <v>#DIV/0!</v>
      </c>
      <c r="D103" s="6" t="e">
        <f t="shared" si="108"/>
        <v>#DIV/0!</v>
      </c>
      <c r="E103" s="6" t="e">
        <f t="shared" si="108"/>
        <v>#DIV/0!</v>
      </c>
      <c r="F103" s="6">
        <f t="shared" si="108"/>
        <v>1.7003484320557491</v>
      </c>
      <c r="G103" s="6" t="e">
        <f t="shared" si="108"/>
        <v>#DIV/0!</v>
      </c>
      <c r="H103" s="6" t="e">
        <f t="shared" si="108"/>
        <v>#DIV/0!</v>
      </c>
      <c r="I103" s="6" t="e">
        <f t="shared" si="108"/>
        <v>#DIV/0!</v>
      </c>
      <c r="J103" s="2" t="s">
        <v>2</v>
      </c>
      <c r="K103" s="6" t="e">
        <f>K97/K101</f>
        <v>#DIV/0!</v>
      </c>
      <c r="L103" s="6" t="e">
        <f>L97/L101</f>
        <v>#DIV/0!</v>
      </c>
      <c r="M103" s="6" t="e">
        <f>M97/M101</f>
        <v>#DIV/0!</v>
      </c>
      <c r="N103" s="6" t="e">
        <f>N97/N101</f>
        <v>#DIV/0!</v>
      </c>
    </row>
    <row r="104" spans="1:14" x14ac:dyDescent="0.35">
      <c r="A104" s="2" t="s">
        <v>29</v>
      </c>
      <c r="B104" s="6">
        <f t="shared" ref="B104:I104" si="109">B97/B102</f>
        <v>4.1578947368421053</v>
      </c>
      <c r="C104" s="6" t="e">
        <f t="shared" si="109"/>
        <v>#DIV/0!</v>
      </c>
      <c r="D104" s="6" t="e">
        <f t="shared" si="109"/>
        <v>#DIV/0!</v>
      </c>
      <c r="E104" s="6" t="e">
        <f t="shared" si="109"/>
        <v>#DIV/0!</v>
      </c>
      <c r="F104" s="6">
        <f t="shared" si="109"/>
        <v>1.6781292984869325</v>
      </c>
      <c r="G104" s="6" t="e">
        <f t="shared" si="109"/>
        <v>#DIV/0!</v>
      </c>
      <c r="H104" s="6" t="e">
        <f t="shared" si="109"/>
        <v>#DIV/0!</v>
      </c>
      <c r="I104" s="6" t="e">
        <f t="shared" si="109"/>
        <v>#DIV/0!</v>
      </c>
      <c r="J104" s="2" t="s">
        <v>2</v>
      </c>
      <c r="K104" s="6" t="e">
        <f>K97/K102</f>
        <v>#DIV/0!</v>
      </c>
      <c r="L104" s="6" t="e">
        <f>L97/L102</f>
        <v>#DIV/0!</v>
      </c>
      <c r="M104" s="6" t="e">
        <f>M97/M102</f>
        <v>#DIV/0!</v>
      </c>
      <c r="N104" s="6" t="e">
        <f>N97/N102</f>
        <v>#DIV/0!</v>
      </c>
    </row>
    <row r="105" spans="1:14" x14ac:dyDescent="0.35">
      <c r="J105" s="2" t="s">
        <v>2</v>
      </c>
    </row>
    <row r="106" spans="1:14" s="2" customFormat="1" x14ac:dyDescent="0.35">
      <c r="B106" s="2" t="str">
        <f t="shared" ref="B106:N106" si="110">B3</f>
        <v>Q123</v>
      </c>
      <c r="C106" s="2" t="str">
        <f t="shared" si="110"/>
        <v>Q223</v>
      </c>
      <c r="D106" s="2" t="str">
        <f t="shared" si="110"/>
        <v>Q323</v>
      </c>
      <c r="E106" s="2" t="str">
        <f t="shared" si="110"/>
        <v>Q423</v>
      </c>
      <c r="F106" s="2" t="str">
        <f t="shared" si="110"/>
        <v>Q124</v>
      </c>
      <c r="G106" s="2" t="str">
        <f t="shared" si="110"/>
        <v>Q224</v>
      </c>
      <c r="H106" s="2" t="str">
        <f t="shared" si="110"/>
        <v>Q324</v>
      </c>
      <c r="I106" s="2" t="str">
        <f t="shared" si="110"/>
        <v>Q424</v>
      </c>
      <c r="J106" s="2" t="str">
        <f t="shared" si="110"/>
        <v>xxx</v>
      </c>
      <c r="K106" s="2">
        <f t="shared" si="110"/>
        <v>2021</v>
      </c>
      <c r="L106" s="2">
        <f t="shared" si="110"/>
        <v>2022</v>
      </c>
      <c r="M106" s="2">
        <f t="shared" si="110"/>
        <v>2023</v>
      </c>
      <c r="N106" s="2">
        <f t="shared" si="110"/>
        <v>2024</v>
      </c>
    </row>
    <row r="107" spans="1:14" s="2" customFormat="1" x14ac:dyDescent="0.35">
      <c r="A107" s="2" t="s">
        <v>44</v>
      </c>
      <c r="B107" s="4">
        <f t="shared" ref="B107:I107" si="111">+B95</f>
        <v>659</v>
      </c>
      <c r="C107" s="4">
        <f t="shared" si="111"/>
        <v>629</v>
      </c>
      <c r="D107" s="4">
        <f t="shared" si="111"/>
        <v>389</v>
      </c>
      <c r="E107" s="4">
        <f t="shared" si="111"/>
        <v>660</v>
      </c>
      <c r="F107" s="4">
        <f t="shared" si="111"/>
        <v>252</v>
      </c>
      <c r="G107" s="4">
        <f t="shared" si="111"/>
        <v>73</v>
      </c>
      <c r="H107" s="4">
        <f t="shared" si="111"/>
        <v>233</v>
      </c>
      <c r="I107" s="4">
        <f t="shared" si="111"/>
        <v>0</v>
      </c>
      <c r="J107" s="2" t="s">
        <v>2</v>
      </c>
      <c r="K107" s="4">
        <f>+K95</f>
        <v>2167</v>
      </c>
      <c r="L107" s="4">
        <f>+L95</f>
        <v>1678</v>
      </c>
      <c r="M107" s="4">
        <f>+M95</f>
        <v>2337</v>
      </c>
      <c r="N107" s="4">
        <f>+N95</f>
        <v>0</v>
      </c>
    </row>
    <row r="108" spans="1:14" x14ac:dyDescent="0.35">
      <c r="A108" t="s">
        <v>45</v>
      </c>
      <c r="B108">
        <v>659</v>
      </c>
      <c r="C108">
        <f>1288-B108</f>
        <v>629</v>
      </c>
      <c r="D108">
        <f>1677-C108-B108</f>
        <v>389</v>
      </c>
      <c r="E108" s="3">
        <f t="shared" ref="E108:E127" si="112">+M108-SUM(B108:D108)</f>
        <v>660</v>
      </c>
      <c r="F108">
        <v>252</v>
      </c>
      <c r="G108">
        <f>325-F108</f>
        <v>73</v>
      </c>
      <c r="H108">
        <f>558-G108-F108</f>
        <v>233</v>
      </c>
      <c r="J108" s="2" t="s">
        <v>2</v>
      </c>
      <c r="K108" s="3">
        <v>2167</v>
      </c>
      <c r="L108" s="3">
        <v>1678</v>
      </c>
      <c r="M108" s="3">
        <v>2337</v>
      </c>
      <c r="N108" s="3">
        <f>+SUM(F108:I108)</f>
        <v>558</v>
      </c>
    </row>
    <row r="109" spans="1:14" x14ac:dyDescent="0.35">
      <c r="A109" t="s">
        <v>103</v>
      </c>
      <c r="B109">
        <v>0</v>
      </c>
      <c r="C109">
        <f>22-B109</f>
        <v>22</v>
      </c>
      <c r="D109">
        <f>56-C109-B109</f>
        <v>34</v>
      </c>
      <c r="E109" s="3">
        <f t="shared" si="112"/>
        <v>48</v>
      </c>
      <c r="F109">
        <v>0</v>
      </c>
      <c r="G109">
        <f>9-F109</f>
        <v>9</v>
      </c>
      <c r="H109">
        <f>36-G109-F109</f>
        <v>27</v>
      </c>
      <c r="J109" s="2" t="s">
        <v>2</v>
      </c>
      <c r="K109" s="3">
        <v>226</v>
      </c>
      <c r="L109" s="3">
        <v>162</v>
      </c>
      <c r="M109" s="3">
        <v>104</v>
      </c>
      <c r="N109" s="3"/>
    </row>
    <row r="110" spans="1:14" x14ac:dyDescent="0.35">
      <c r="A110" t="s">
        <v>71</v>
      </c>
      <c r="B110">
        <v>-50</v>
      </c>
      <c r="C110">
        <f>-174-B110</f>
        <v>-124</v>
      </c>
      <c r="D110">
        <f>-151-C110-B110</f>
        <v>23</v>
      </c>
      <c r="E110" s="3">
        <f t="shared" si="112"/>
        <v>-130</v>
      </c>
      <c r="F110">
        <v>-2</v>
      </c>
      <c r="G110">
        <f>103-F110</f>
        <v>105</v>
      </c>
      <c r="H110">
        <f>39-G110-F110</f>
        <v>-64</v>
      </c>
      <c r="J110" s="2" t="s">
        <v>2</v>
      </c>
      <c r="K110" s="3">
        <v>78</v>
      </c>
      <c r="L110" s="3">
        <v>-101</v>
      </c>
      <c r="M110" s="3">
        <v>-281</v>
      </c>
      <c r="N110" s="3">
        <f t="shared" ref="N110:N125" si="113">+SUM(F110:I110)</f>
        <v>39</v>
      </c>
    </row>
    <row r="111" spans="1:14" x14ac:dyDescent="0.35">
      <c r="A111" t="s">
        <v>72</v>
      </c>
      <c r="B111">
        <v>102</v>
      </c>
      <c r="C111">
        <f>208-B111</f>
        <v>106</v>
      </c>
      <c r="D111">
        <f>317-C111-B111</f>
        <v>109</v>
      </c>
      <c r="E111" s="3">
        <f t="shared" si="112"/>
        <v>134</v>
      </c>
      <c r="F111">
        <v>112</v>
      </c>
      <c r="G111">
        <f>226-F111</f>
        <v>114</v>
      </c>
      <c r="H111">
        <f>345-G111-F111</f>
        <v>119</v>
      </c>
      <c r="J111" s="2" t="s">
        <v>2</v>
      </c>
      <c r="K111" s="3">
        <v>424</v>
      </c>
      <c r="L111" s="3">
        <v>408</v>
      </c>
      <c r="M111" s="3">
        <v>451</v>
      </c>
      <c r="N111" s="3">
        <f t="shared" si="113"/>
        <v>345</v>
      </c>
    </row>
    <row r="112" spans="1:14" x14ac:dyDescent="0.35">
      <c r="A112" t="s">
        <v>73</v>
      </c>
      <c r="B112">
        <v>17</v>
      </c>
      <c r="C112">
        <f>34-B112</f>
        <v>17</v>
      </c>
      <c r="D112">
        <f>51-C112-B112</f>
        <v>17</v>
      </c>
      <c r="E112" s="3">
        <f t="shared" si="112"/>
        <v>18</v>
      </c>
      <c r="F112">
        <v>17</v>
      </c>
      <c r="G112">
        <f>34-F112</f>
        <v>17</v>
      </c>
      <c r="H112">
        <f>49-G112-F112</f>
        <v>15</v>
      </c>
      <c r="J112" s="2" t="s">
        <v>2</v>
      </c>
      <c r="K112" s="3">
        <v>61</v>
      </c>
      <c r="L112" s="3">
        <v>65</v>
      </c>
      <c r="M112" s="3">
        <v>69</v>
      </c>
      <c r="N112" s="3">
        <f t="shared" si="113"/>
        <v>49</v>
      </c>
    </row>
    <row r="113" spans="1:14" x14ac:dyDescent="0.35">
      <c r="A113" t="s">
        <v>74</v>
      </c>
      <c r="B113">
        <v>11</v>
      </c>
      <c r="C113">
        <f>67-B113</f>
        <v>56</v>
      </c>
      <c r="D113">
        <f>115-C113-B113</f>
        <v>48</v>
      </c>
      <c r="E113" s="3">
        <f t="shared" si="112"/>
        <v>-116</v>
      </c>
      <c r="F113">
        <v>-10</v>
      </c>
      <c r="G113">
        <f>-27-F113</f>
        <v>-17</v>
      </c>
      <c r="H113">
        <f>-43-G113-F113</f>
        <v>-16</v>
      </c>
      <c r="J113" s="2" t="s">
        <v>2</v>
      </c>
      <c r="K113" s="3">
        <v>-272</v>
      </c>
      <c r="L113" s="3">
        <v>-119</v>
      </c>
      <c r="M113" s="3">
        <v>-1</v>
      </c>
      <c r="N113" s="3">
        <f t="shared" si="113"/>
        <v>-43</v>
      </c>
    </row>
    <row r="114" spans="1:14" x14ac:dyDescent="0.35">
      <c r="A114" t="s">
        <v>133</v>
      </c>
      <c r="B114">
        <v>0</v>
      </c>
      <c r="C114">
        <v>0</v>
      </c>
      <c r="D114">
        <v>0</v>
      </c>
      <c r="E114" s="3">
        <f t="shared" si="112"/>
        <v>-4</v>
      </c>
      <c r="F114">
        <v>0</v>
      </c>
      <c r="G114">
        <v>0</v>
      </c>
      <c r="H114">
        <v>0</v>
      </c>
      <c r="J114" s="2" t="s">
        <v>2</v>
      </c>
      <c r="K114" s="3">
        <v>-417</v>
      </c>
      <c r="L114" s="3">
        <v>-6</v>
      </c>
      <c r="M114" s="3">
        <v>-4</v>
      </c>
      <c r="N114" s="3"/>
    </row>
    <row r="115" spans="1:14" x14ac:dyDescent="0.35">
      <c r="A115" t="s">
        <v>75</v>
      </c>
      <c r="B115">
        <v>-19</v>
      </c>
      <c r="C115">
        <f>-61-B115</f>
        <v>-42</v>
      </c>
      <c r="D115">
        <f>-100-C115-B115</f>
        <v>-39</v>
      </c>
      <c r="E115" s="3">
        <f t="shared" si="112"/>
        <v>-57</v>
      </c>
      <c r="F115">
        <v>-8</v>
      </c>
      <c r="G115">
        <f>38-F115</f>
        <v>46</v>
      </c>
      <c r="H115">
        <f>39-G115-F115</f>
        <v>1</v>
      </c>
      <c r="J115" s="2" t="s">
        <v>2</v>
      </c>
      <c r="K115" s="3">
        <v>-160</v>
      </c>
      <c r="L115" s="3">
        <v>-106</v>
      </c>
      <c r="M115" s="3">
        <v>-157</v>
      </c>
      <c r="N115" s="3">
        <f t="shared" si="113"/>
        <v>39</v>
      </c>
    </row>
    <row r="116" spans="1:14" x14ac:dyDescent="0.35">
      <c r="A116" t="s">
        <v>49</v>
      </c>
      <c r="B116">
        <v>10</v>
      </c>
      <c r="C116">
        <f>53-B116</f>
        <v>43</v>
      </c>
      <c r="D116">
        <f>65-C116-B116</f>
        <v>12</v>
      </c>
      <c r="E116" s="3">
        <f t="shared" si="112"/>
        <v>52</v>
      </c>
      <c r="F116">
        <v>23</v>
      </c>
      <c r="G116">
        <f>49-F116</f>
        <v>26</v>
      </c>
      <c r="H116">
        <f>48-G116-F116</f>
        <v>-1</v>
      </c>
      <c r="J116" s="2" t="s">
        <v>2</v>
      </c>
      <c r="K116" s="3">
        <v>6</v>
      </c>
      <c r="L116" s="3">
        <v>97</v>
      </c>
      <c r="M116" s="3">
        <v>117</v>
      </c>
      <c r="N116" s="3">
        <f t="shared" si="113"/>
        <v>48</v>
      </c>
    </row>
    <row r="117" spans="1:14" x14ac:dyDescent="0.35">
      <c r="A117" t="s">
        <v>76</v>
      </c>
      <c r="B117">
        <v>5</v>
      </c>
      <c r="C117">
        <f>290-B117</f>
        <v>285</v>
      </c>
      <c r="D117">
        <f>306-C117-B117</f>
        <v>16</v>
      </c>
      <c r="E117" s="3">
        <f t="shared" si="112"/>
        <v>-50</v>
      </c>
      <c r="F117">
        <v>284</v>
      </c>
      <c r="G117">
        <f>173-F117</f>
        <v>-111</v>
      </c>
      <c r="H117">
        <f>382-G117-F117</f>
        <v>209</v>
      </c>
      <c r="J117" s="2" t="s">
        <v>2</v>
      </c>
      <c r="K117" s="3">
        <v>-530</v>
      </c>
      <c r="L117" s="3">
        <v>-206</v>
      </c>
      <c r="M117" s="3">
        <v>256</v>
      </c>
      <c r="N117" s="3">
        <f t="shared" si="113"/>
        <v>382</v>
      </c>
    </row>
    <row r="118" spans="1:14" x14ac:dyDescent="0.35">
      <c r="A118" t="s">
        <v>77</v>
      </c>
      <c r="B118">
        <v>-434</v>
      </c>
      <c r="C118">
        <f>-195-B118</f>
        <v>239</v>
      </c>
      <c r="D118">
        <f>933-C118-B118</f>
        <v>1128</v>
      </c>
      <c r="E118" s="3">
        <f t="shared" si="112"/>
        <v>585</v>
      </c>
      <c r="F118">
        <v>-484</v>
      </c>
      <c r="G118">
        <f>-1273-F118</f>
        <v>-789</v>
      </c>
      <c r="H118">
        <f>-557-G118-F118</f>
        <v>716</v>
      </c>
      <c r="J118" s="2" t="s">
        <v>2</v>
      </c>
      <c r="K118" s="3">
        <v>-1301</v>
      </c>
      <c r="L118" s="3">
        <v>-269</v>
      </c>
      <c r="M118" s="3">
        <v>1518</v>
      </c>
      <c r="N118" s="3">
        <f t="shared" si="113"/>
        <v>-557</v>
      </c>
    </row>
    <row r="119" spans="1:14" x14ac:dyDescent="0.35">
      <c r="A119" t="s">
        <v>78</v>
      </c>
      <c r="B119">
        <v>15</v>
      </c>
      <c r="C119">
        <f>-11-B119</f>
        <v>-26</v>
      </c>
      <c r="D119">
        <f>-228-C119-B119</f>
        <v>-217</v>
      </c>
      <c r="E119" s="3">
        <f t="shared" si="112"/>
        <v>107</v>
      </c>
      <c r="F119">
        <v>34</v>
      </c>
      <c r="G119">
        <f>88-F119</f>
        <v>54</v>
      </c>
      <c r="H119">
        <f>146-G119-F119</f>
        <v>58</v>
      </c>
      <c r="J119" s="2" t="s">
        <v>2</v>
      </c>
      <c r="K119" s="3">
        <v>-48</v>
      </c>
      <c r="L119" s="3">
        <v>-14</v>
      </c>
      <c r="M119" s="3">
        <v>-121</v>
      </c>
      <c r="N119" s="3">
        <f t="shared" si="113"/>
        <v>146</v>
      </c>
    </row>
    <row r="120" spans="1:14" x14ac:dyDescent="0.35">
      <c r="A120" t="s">
        <v>79</v>
      </c>
      <c r="B120">
        <v>802</v>
      </c>
      <c r="C120">
        <f>-605-B120</f>
        <v>-1407</v>
      </c>
      <c r="D120">
        <f>-690-C120-B120</f>
        <v>-85</v>
      </c>
      <c r="E120" s="3">
        <f t="shared" si="112"/>
        <v>-249</v>
      </c>
      <c r="F120">
        <v>774</v>
      </c>
      <c r="G120">
        <f>-147-F120</f>
        <v>-921</v>
      </c>
      <c r="H120">
        <f>-386-G120-F120</f>
        <v>-239</v>
      </c>
      <c r="J120" s="2" t="s">
        <v>2</v>
      </c>
      <c r="K120" s="3">
        <v>1633</v>
      </c>
      <c r="L120" s="3">
        <v>67</v>
      </c>
      <c r="M120" s="3">
        <v>-939</v>
      </c>
      <c r="N120" s="3">
        <f t="shared" si="113"/>
        <v>-386</v>
      </c>
    </row>
    <row r="121" spans="1:14" x14ac:dyDescent="0.35">
      <c r="A121" t="s">
        <v>80</v>
      </c>
      <c r="B121">
        <v>-119</v>
      </c>
      <c r="C121">
        <f>-220-B121</f>
        <v>-101</v>
      </c>
      <c r="D121">
        <f>-227-C121-B121</f>
        <v>-7</v>
      </c>
      <c r="E121" s="3">
        <f t="shared" si="112"/>
        <v>87</v>
      </c>
      <c r="F121">
        <v>-30</v>
      </c>
      <c r="G121">
        <f>-90-F121</f>
        <v>-60</v>
      </c>
      <c r="H121">
        <f>-179-G121-F121</f>
        <v>-89</v>
      </c>
      <c r="J121" s="2" t="s">
        <v>2</v>
      </c>
      <c r="K121" s="3">
        <v>32</v>
      </c>
      <c r="L121" s="3">
        <v>175</v>
      </c>
      <c r="M121" s="3">
        <v>-140</v>
      </c>
      <c r="N121" s="3">
        <f t="shared" si="113"/>
        <v>-179</v>
      </c>
    </row>
    <row r="122" spans="1:14" x14ac:dyDescent="0.35">
      <c r="A122" t="s">
        <v>81</v>
      </c>
      <c r="B122">
        <v>-424</v>
      </c>
      <c r="C122">
        <f>-262-B122</f>
        <v>162</v>
      </c>
      <c r="D122">
        <f>-247-C122-B122</f>
        <v>15</v>
      </c>
      <c r="E122" s="3">
        <f t="shared" si="112"/>
        <v>-119</v>
      </c>
      <c r="F122">
        <v>249</v>
      </c>
      <c r="G122">
        <f>329-F122</f>
        <v>80</v>
      </c>
      <c r="H122">
        <f>533-G122-F122</f>
        <v>204</v>
      </c>
      <c r="J122" s="2" t="s">
        <v>2</v>
      </c>
      <c r="K122" s="3">
        <v>394</v>
      </c>
      <c r="L122" s="3">
        <v>-31</v>
      </c>
      <c r="M122" s="3">
        <v>-366</v>
      </c>
      <c r="N122" s="3">
        <f t="shared" si="113"/>
        <v>533</v>
      </c>
    </row>
    <row r="123" spans="1:14" x14ac:dyDescent="0.35">
      <c r="A123" t="s">
        <v>82</v>
      </c>
      <c r="B123">
        <v>141</v>
      </c>
      <c r="C123">
        <f>-22-B123</f>
        <v>-163</v>
      </c>
      <c r="D123">
        <f>-111-C123-B123</f>
        <v>-89</v>
      </c>
      <c r="E123" s="3">
        <f t="shared" si="112"/>
        <v>284</v>
      </c>
      <c r="F123">
        <v>-227</v>
      </c>
      <c r="G123">
        <f>-315-F123</f>
        <v>-88</v>
      </c>
      <c r="H123">
        <f>-152-G123-F123</f>
        <v>163</v>
      </c>
      <c r="J123" s="2" t="s">
        <v>2</v>
      </c>
      <c r="K123" s="3">
        <v>252</v>
      </c>
      <c r="L123" s="3">
        <v>-242</v>
      </c>
      <c r="M123" s="3">
        <v>173</v>
      </c>
      <c r="N123" s="3">
        <f t="shared" si="113"/>
        <v>-152</v>
      </c>
    </row>
    <row r="124" spans="1:14" x14ac:dyDescent="0.35">
      <c r="A124" t="s">
        <v>83</v>
      </c>
      <c r="B124">
        <v>128</v>
      </c>
      <c r="C124">
        <f>-87-B124</f>
        <v>-215</v>
      </c>
      <c r="D124">
        <f>-19-C124-B124</f>
        <v>68</v>
      </c>
      <c r="E124" s="3">
        <f t="shared" si="112"/>
        <v>221</v>
      </c>
      <c r="F124">
        <v>-11</v>
      </c>
      <c r="G124">
        <f>-149-F124</f>
        <v>-138</v>
      </c>
      <c r="H124">
        <f>-148-G124-F124</f>
        <v>1</v>
      </c>
      <c r="J124" s="2" t="s">
        <v>2</v>
      </c>
      <c r="K124" s="3">
        <v>247</v>
      </c>
      <c r="L124" s="3">
        <v>-94</v>
      </c>
      <c r="M124" s="3">
        <v>202</v>
      </c>
      <c r="N124" s="3">
        <f t="shared" si="113"/>
        <v>-148</v>
      </c>
    </row>
    <row r="125" spans="1:14" x14ac:dyDescent="0.35">
      <c r="A125" t="s">
        <v>84</v>
      </c>
      <c r="B125">
        <v>13</v>
      </c>
      <c r="C125">
        <f>36-B125</f>
        <v>23</v>
      </c>
      <c r="D125">
        <f>-17-C125-B125</f>
        <v>-53</v>
      </c>
      <c r="E125" s="3">
        <f t="shared" si="112"/>
        <v>40</v>
      </c>
      <c r="F125">
        <v>-6</v>
      </c>
      <c r="G125">
        <f>-21-F125</f>
        <v>-15</v>
      </c>
      <c r="H125">
        <f>7-G125-F125</f>
        <v>28</v>
      </c>
      <c r="J125" s="2" t="s">
        <v>2</v>
      </c>
      <c r="K125" s="3">
        <v>-82</v>
      </c>
      <c r="L125" s="3">
        <v>325</v>
      </c>
      <c r="M125" s="3">
        <v>23</v>
      </c>
      <c r="N125" s="3">
        <f t="shared" si="113"/>
        <v>7</v>
      </c>
    </row>
    <row r="126" spans="1:14" x14ac:dyDescent="0.35">
      <c r="A126" t="s">
        <v>134</v>
      </c>
      <c r="B126">
        <v>0</v>
      </c>
      <c r="C126">
        <v>0</v>
      </c>
      <c r="D126">
        <v>0</v>
      </c>
      <c r="E126" s="3">
        <f t="shared" si="112"/>
        <v>0</v>
      </c>
      <c r="J126" s="2" t="s">
        <v>2</v>
      </c>
      <c r="K126" s="3">
        <v>-5376</v>
      </c>
      <c r="L126" s="3">
        <v>-6940</v>
      </c>
      <c r="M126" s="3">
        <v>0</v>
      </c>
      <c r="N126" s="3"/>
    </row>
    <row r="127" spans="1:14" x14ac:dyDescent="0.35">
      <c r="A127" t="s">
        <v>85</v>
      </c>
      <c r="B127">
        <v>74</v>
      </c>
      <c r="C127">
        <f>111-B127</f>
        <v>37</v>
      </c>
      <c r="D127">
        <f>130-C127-B127</f>
        <v>19</v>
      </c>
      <c r="E127" s="3">
        <f t="shared" si="112"/>
        <v>-63</v>
      </c>
      <c r="F127">
        <v>27</v>
      </c>
      <c r="G127">
        <f>168-F127</f>
        <v>141</v>
      </c>
      <c r="H127">
        <f>130-G127-F127</f>
        <v>-38</v>
      </c>
      <c r="J127" s="2" t="s">
        <v>2</v>
      </c>
      <c r="K127" s="3">
        <v>-228</v>
      </c>
      <c r="L127" s="3">
        <v>-398</v>
      </c>
      <c r="M127" s="3">
        <v>67</v>
      </c>
      <c r="N127" s="3">
        <f>+SUM(F127:I127)</f>
        <v>130</v>
      </c>
    </row>
    <row r="128" spans="1:14" s="2" customFormat="1" x14ac:dyDescent="0.35">
      <c r="A128" s="2" t="s">
        <v>86</v>
      </c>
      <c r="B128" s="2">
        <f t="shared" ref="B128:I128" si="114">+SUM(B108:B127)</f>
        <v>931</v>
      </c>
      <c r="C128" s="2">
        <f t="shared" si="114"/>
        <v>-459</v>
      </c>
      <c r="D128" s="2">
        <f t="shared" si="114"/>
        <v>1388</v>
      </c>
      <c r="E128" s="2">
        <f t="shared" si="114"/>
        <v>1448</v>
      </c>
      <c r="F128" s="2">
        <f t="shared" si="114"/>
        <v>994</v>
      </c>
      <c r="G128" s="2">
        <f t="shared" si="114"/>
        <v>-1474</v>
      </c>
      <c r="H128" s="2">
        <f t="shared" si="114"/>
        <v>1327</v>
      </c>
      <c r="I128" s="2">
        <f t="shared" si="114"/>
        <v>0</v>
      </c>
      <c r="J128" s="2" t="s">
        <v>2</v>
      </c>
      <c r="K128" s="4">
        <f>+SUM(K108:K127)</f>
        <v>-2894</v>
      </c>
      <c r="L128" s="4">
        <f>+SUM(L108:L127)</f>
        <v>-5549</v>
      </c>
      <c r="M128" s="4">
        <f>+SUM(M108:M127)</f>
        <v>3308</v>
      </c>
      <c r="N128" s="4">
        <f>+SUM(N108:N127)</f>
        <v>811</v>
      </c>
    </row>
    <row r="129" spans="1:14" s="2" customFormat="1" x14ac:dyDescent="0.35">
      <c r="J129" s="2" t="s">
        <v>2</v>
      </c>
    </row>
    <row r="130" spans="1:14" s="2" customFormat="1" x14ac:dyDescent="0.35">
      <c r="A130" s="2" t="s">
        <v>102</v>
      </c>
      <c r="B130" s="4">
        <f>B139-B156</f>
        <v>8663</v>
      </c>
      <c r="C130" s="4">
        <f t="shared" ref="C130:N130" si="115">C139-C156</f>
        <v>0</v>
      </c>
      <c r="D130" s="4">
        <f t="shared" si="115"/>
        <v>0</v>
      </c>
      <c r="E130" s="4">
        <f t="shared" si="115"/>
        <v>8663</v>
      </c>
      <c r="F130" s="4">
        <f t="shared" si="115"/>
        <v>8311</v>
      </c>
      <c r="G130" s="4">
        <f t="shared" si="115"/>
        <v>7846</v>
      </c>
      <c r="H130" s="4">
        <f t="shared" si="115"/>
        <v>8228</v>
      </c>
      <c r="I130" s="4">
        <f t="shared" si="115"/>
        <v>0</v>
      </c>
      <c r="J130" s="2" t="s">
        <v>2</v>
      </c>
      <c r="K130" s="4">
        <f t="shared" ref="K130:L130" si="116">K139-K156</f>
        <v>0</v>
      </c>
      <c r="L130" s="4">
        <f t="shared" si="116"/>
        <v>7158</v>
      </c>
      <c r="M130" s="4">
        <f t="shared" si="115"/>
        <v>8663</v>
      </c>
      <c r="N130" s="4">
        <f t="shared" si="115"/>
        <v>0</v>
      </c>
    </row>
    <row r="131" spans="1:14" s="2" customFormat="1" x14ac:dyDescent="0.35">
      <c r="A131" s="2" t="s">
        <v>101</v>
      </c>
      <c r="B131" s="7">
        <f>B139/B156</f>
        <v>2.1269676076492781</v>
      </c>
      <c r="C131" s="7" t="e">
        <f t="shared" ref="C131:N131" si="117">C139/C156</f>
        <v>#DIV/0!</v>
      </c>
      <c r="D131" s="7" t="e">
        <f t="shared" si="117"/>
        <v>#DIV/0!</v>
      </c>
      <c r="E131" s="7">
        <f t="shared" si="117"/>
        <v>2.1269676076492781</v>
      </c>
      <c r="F131" s="7">
        <f t="shared" si="117"/>
        <v>1.9860007118282121</v>
      </c>
      <c r="G131" s="7">
        <f t="shared" si="117"/>
        <v>2.0315540362871416</v>
      </c>
      <c r="H131" s="7">
        <f t="shared" si="117"/>
        <v>2.0698218697178521</v>
      </c>
      <c r="I131" s="7" t="e">
        <f t="shared" si="117"/>
        <v>#DIV/0!</v>
      </c>
      <c r="J131" s="2" t="s">
        <v>2</v>
      </c>
      <c r="K131" s="7" t="e">
        <f t="shared" ref="K131:L131" si="118">K139/K156</f>
        <v>#DIV/0!</v>
      </c>
      <c r="L131" s="7">
        <f t="shared" si="118"/>
        <v>1.745625</v>
      </c>
      <c r="M131" s="7">
        <f t="shared" si="117"/>
        <v>2.1269676076492781</v>
      </c>
      <c r="N131" s="7" t="e">
        <f t="shared" si="117"/>
        <v>#DIV/0!</v>
      </c>
    </row>
    <row r="132" spans="1:14" x14ac:dyDescent="0.35">
      <c r="J132" s="2" t="s">
        <v>2</v>
      </c>
    </row>
    <row r="133" spans="1:14" s="2" customFormat="1" x14ac:dyDescent="0.35">
      <c r="A133" s="2" t="s">
        <v>32</v>
      </c>
      <c r="B133" s="2" t="str">
        <f t="shared" ref="B133:I133" si="119">B106</f>
        <v>Q123</v>
      </c>
      <c r="C133" s="2" t="str">
        <f t="shared" si="119"/>
        <v>Q223</v>
      </c>
      <c r="D133" s="2" t="str">
        <f t="shared" si="119"/>
        <v>Q323</v>
      </c>
      <c r="E133" s="2" t="str">
        <f t="shared" si="119"/>
        <v>Q423</v>
      </c>
      <c r="F133" s="2" t="str">
        <f t="shared" si="119"/>
        <v>Q124</v>
      </c>
      <c r="G133" s="2" t="str">
        <f t="shared" si="119"/>
        <v>Q224</v>
      </c>
      <c r="H133" s="2" t="str">
        <f t="shared" si="119"/>
        <v>Q324</v>
      </c>
      <c r="I133" s="2" t="str">
        <f t="shared" si="119"/>
        <v>Q424</v>
      </c>
      <c r="J133" s="2" t="s">
        <v>2</v>
      </c>
      <c r="K133" s="2">
        <f>K106</f>
        <v>2021</v>
      </c>
      <c r="L133" s="2">
        <f>L106</f>
        <v>2022</v>
      </c>
      <c r="M133" s="2">
        <f>M106</f>
        <v>2023</v>
      </c>
      <c r="N133" s="2">
        <f>N106</f>
        <v>2024</v>
      </c>
    </row>
    <row r="134" spans="1:14" x14ac:dyDescent="0.35">
      <c r="A134" t="s">
        <v>46</v>
      </c>
      <c r="B134" s="3">
        <v>2602</v>
      </c>
      <c r="C134" s="3"/>
      <c r="D134" s="3"/>
      <c r="E134" s="3">
        <v>2602</v>
      </c>
      <c r="F134" s="3">
        <v>2939</v>
      </c>
      <c r="G134" s="3">
        <v>1161</v>
      </c>
      <c r="H134" s="3">
        <v>2836</v>
      </c>
      <c r="I134" s="3"/>
      <c r="J134" s="2" t="s">
        <v>2</v>
      </c>
      <c r="K134" s="3"/>
      <c r="L134" s="3">
        <v>1104</v>
      </c>
      <c r="M134" s="3">
        <f>E134</f>
        <v>2602</v>
      </c>
      <c r="N134" s="3"/>
    </row>
    <row r="135" spans="1:14" x14ac:dyDescent="0.35">
      <c r="A135" t="s">
        <v>47</v>
      </c>
      <c r="B135" s="3">
        <v>2592</v>
      </c>
      <c r="C135" s="3"/>
      <c r="D135" s="3"/>
      <c r="E135" s="3">
        <v>2592</v>
      </c>
      <c r="F135" s="3">
        <v>2285</v>
      </c>
      <c r="G135" s="3">
        <v>2277</v>
      </c>
      <c r="H135" s="3">
        <v>2100</v>
      </c>
      <c r="I135" s="3"/>
      <c r="J135" s="2" t="s">
        <v>2</v>
      </c>
      <c r="K135" s="3"/>
      <c r="L135" s="3">
        <v>2829</v>
      </c>
      <c r="M135" s="3">
        <f t="shared" ref="M135:M136" si="120">E135</f>
        <v>2592</v>
      </c>
      <c r="N135" s="3"/>
    </row>
    <row r="136" spans="1:14" x14ac:dyDescent="0.35">
      <c r="A136" t="s">
        <v>48</v>
      </c>
      <c r="B136" s="3">
        <v>7105</v>
      </c>
      <c r="C136" s="3"/>
      <c r="D136" s="3"/>
      <c r="E136" s="3">
        <v>7105</v>
      </c>
      <c r="F136" s="3">
        <v>7505</v>
      </c>
      <c r="G136" s="3">
        <v>8057</v>
      </c>
      <c r="H136" s="3">
        <v>7465</v>
      </c>
      <c r="I136" s="3"/>
      <c r="J136" s="2" t="s">
        <v>2</v>
      </c>
      <c r="K136" s="3"/>
      <c r="L136" s="3">
        <v>8408</v>
      </c>
      <c r="M136" s="3">
        <f t="shared" si="120"/>
        <v>7105</v>
      </c>
      <c r="N136" s="3"/>
    </row>
    <row r="137" spans="1:14" x14ac:dyDescent="0.35">
      <c r="A137" t="s">
        <v>131</v>
      </c>
      <c r="B137" s="3"/>
      <c r="C137" s="3"/>
      <c r="D137" s="3"/>
      <c r="E137" s="3">
        <v>1</v>
      </c>
      <c r="F137" s="3"/>
      <c r="G137" s="3"/>
      <c r="H137" s="3"/>
      <c r="I137" s="3"/>
      <c r="J137" s="2" t="s">
        <v>2</v>
      </c>
      <c r="K137" s="3"/>
      <c r="L137" s="3">
        <v>36</v>
      </c>
      <c r="M137" s="3">
        <v>1</v>
      </c>
      <c r="N137" s="3"/>
    </row>
    <row r="138" spans="1:14" x14ac:dyDescent="0.35">
      <c r="A138" t="s">
        <v>65</v>
      </c>
      <c r="B138" s="3">
        <v>4051</v>
      </c>
      <c r="C138" s="3"/>
      <c r="D138" s="3"/>
      <c r="E138" s="3">
        <v>4050</v>
      </c>
      <c r="F138" s="3">
        <v>4011</v>
      </c>
      <c r="G138" s="3">
        <v>3957</v>
      </c>
      <c r="H138" s="3">
        <v>3518</v>
      </c>
      <c r="I138" s="3"/>
      <c r="J138" s="2" t="s">
        <v>2</v>
      </c>
      <c r="K138" s="3"/>
      <c r="L138" s="3">
        <v>4381</v>
      </c>
      <c r="M138" s="3">
        <v>4050</v>
      </c>
      <c r="N138" s="3"/>
    </row>
    <row r="139" spans="1:14" s="2" customFormat="1" x14ac:dyDescent="0.35">
      <c r="A139" s="2" t="s">
        <v>33</v>
      </c>
      <c r="B139" s="4">
        <f>+SUM(B134:B138)</f>
        <v>16350</v>
      </c>
      <c r="C139" s="4">
        <f t="shared" ref="C139:N139" si="121">+SUM(C134:C138)</f>
        <v>0</v>
      </c>
      <c r="D139" s="4">
        <f t="shared" si="121"/>
        <v>0</v>
      </c>
      <c r="E139" s="4">
        <f t="shared" si="121"/>
        <v>16350</v>
      </c>
      <c r="F139" s="4">
        <f t="shared" si="121"/>
        <v>16740</v>
      </c>
      <c r="G139" s="4">
        <f t="shared" si="121"/>
        <v>15452</v>
      </c>
      <c r="H139" s="4">
        <f t="shared" si="121"/>
        <v>15919</v>
      </c>
      <c r="I139" s="4">
        <f t="shared" si="121"/>
        <v>0</v>
      </c>
      <c r="J139" s="2" t="s">
        <v>2</v>
      </c>
      <c r="K139" s="4">
        <f t="shared" ref="K139:L139" si="122">+SUM(K134:K138)</f>
        <v>0</v>
      </c>
      <c r="L139" s="4">
        <f t="shared" si="122"/>
        <v>16758</v>
      </c>
      <c r="M139" s="4">
        <f t="shared" si="121"/>
        <v>16350</v>
      </c>
      <c r="N139" s="4">
        <f t="shared" si="121"/>
        <v>0</v>
      </c>
    </row>
    <row r="140" spans="1:14" x14ac:dyDescent="0.35">
      <c r="A140" t="s">
        <v>50</v>
      </c>
      <c r="B140" s="3">
        <v>4541</v>
      </c>
      <c r="C140" s="3"/>
      <c r="D140" s="3"/>
      <c r="E140" s="3">
        <v>4541</v>
      </c>
      <c r="F140" s="3">
        <v>4620</v>
      </c>
      <c r="G140" s="3">
        <v>4751</v>
      </c>
      <c r="H140" s="3">
        <v>5115</v>
      </c>
      <c r="I140" s="3"/>
      <c r="J140" s="4" t="s">
        <v>2</v>
      </c>
      <c r="K140" s="3"/>
      <c r="L140" s="3">
        <v>3617</v>
      </c>
      <c r="M140" s="3">
        <f t="shared" ref="M140:M146" si="123">E140</f>
        <v>4541</v>
      </c>
      <c r="N140" s="3"/>
    </row>
    <row r="141" spans="1:14" x14ac:dyDescent="0.35">
      <c r="A141" t="s">
        <v>51</v>
      </c>
      <c r="B141" s="3">
        <v>926</v>
      </c>
      <c r="C141" s="3"/>
      <c r="D141" s="3"/>
      <c r="E141" s="3">
        <v>929</v>
      </c>
      <c r="F141" s="3">
        <v>922</v>
      </c>
      <c r="G141" s="3">
        <v>927</v>
      </c>
      <c r="H141" s="3">
        <v>937</v>
      </c>
      <c r="I141" s="3"/>
      <c r="J141" s="4" t="s">
        <v>2</v>
      </c>
      <c r="K141" s="3"/>
      <c r="L141" s="3">
        <v>1024</v>
      </c>
      <c r="M141" s="3">
        <f t="shared" si="123"/>
        <v>929</v>
      </c>
      <c r="N141" s="3"/>
    </row>
    <row r="142" spans="1:14" x14ac:dyDescent="0.35">
      <c r="A142" t="s">
        <v>52</v>
      </c>
      <c r="B142" s="3">
        <v>489</v>
      </c>
      <c r="C142" s="3"/>
      <c r="D142" s="3"/>
      <c r="E142" s="3">
        <v>489</v>
      </c>
      <c r="F142" s="3">
        <v>480</v>
      </c>
      <c r="G142" s="3">
        <v>466</v>
      </c>
      <c r="H142" s="3">
        <v>482</v>
      </c>
      <c r="I142" s="3"/>
      <c r="J142" s="4" t="s">
        <v>2</v>
      </c>
      <c r="K142" s="3"/>
      <c r="L142" s="3">
        <v>470</v>
      </c>
      <c r="M142" s="3">
        <f t="shared" si="123"/>
        <v>489</v>
      </c>
      <c r="N142" s="3"/>
    </row>
    <row r="143" spans="1:14" x14ac:dyDescent="0.35">
      <c r="A143" t="s">
        <v>53</v>
      </c>
      <c r="B143" s="3">
        <v>398</v>
      </c>
      <c r="C143" s="3"/>
      <c r="D143" s="3"/>
      <c r="E143" s="3">
        <v>398</v>
      </c>
      <c r="F143" s="3">
        <v>380</v>
      </c>
      <c r="G143" s="3">
        <v>355</v>
      </c>
      <c r="H143" s="3">
        <v>358</v>
      </c>
      <c r="I143" s="3"/>
      <c r="J143" s="4" t="s">
        <v>2</v>
      </c>
      <c r="K143" s="3"/>
      <c r="L143" s="3">
        <v>360</v>
      </c>
      <c r="M143" s="3">
        <f t="shared" si="123"/>
        <v>398</v>
      </c>
      <c r="N143" s="3"/>
    </row>
    <row r="144" spans="1:14" x14ac:dyDescent="0.35">
      <c r="A144" t="s">
        <v>54</v>
      </c>
      <c r="B144" s="3">
        <v>1280</v>
      </c>
      <c r="C144" s="3"/>
      <c r="D144" s="3"/>
      <c r="E144" s="3">
        <v>1280</v>
      </c>
      <c r="F144" s="3">
        <v>1296</v>
      </c>
      <c r="G144" s="3">
        <v>1193</v>
      </c>
      <c r="H144" s="3">
        <v>1136</v>
      </c>
      <c r="I144" s="3"/>
      <c r="J144" s="4" t="s">
        <v>2</v>
      </c>
      <c r="K144" s="3"/>
      <c r="L144" s="3">
        <v>1012</v>
      </c>
      <c r="M144" s="3">
        <f t="shared" si="123"/>
        <v>1280</v>
      </c>
      <c r="N144" s="3"/>
    </row>
    <row r="145" spans="1:14" x14ac:dyDescent="0.35">
      <c r="A145" t="s">
        <v>55</v>
      </c>
      <c r="B145" s="3">
        <v>773</v>
      </c>
      <c r="C145" s="3"/>
      <c r="D145" s="3"/>
      <c r="E145" s="3">
        <v>773</v>
      </c>
      <c r="F145" s="3">
        <v>743</v>
      </c>
      <c r="G145" s="3">
        <v>698</v>
      </c>
      <c r="H145" s="3">
        <v>725</v>
      </c>
      <c r="I145" s="3"/>
      <c r="J145" s="4" t="s">
        <v>2</v>
      </c>
      <c r="K145" s="3"/>
      <c r="L145" s="3">
        <v>712</v>
      </c>
      <c r="M145" s="3">
        <f t="shared" si="123"/>
        <v>773</v>
      </c>
      <c r="N145" s="3"/>
    </row>
    <row r="146" spans="1:14" x14ac:dyDescent="0.35">
      <c r="A146" t="s">
        <v>64</v>
      </c>
      <c r="B146" s="3">
        <v>615</v>
      </c>
      <c r="C146" s="3"/>
      <c r="D146" s="3"/>
      <c r="E146" s="3">
        <v>615</v>
      </c>
      <c r="F146" s="3">
        <v>640</v>
      </c>
      <c r="G146" s="3">
        <v>586</v>
      </c>
      <c r="H146" s="3">
        <v>595</v>
      </c>
      <c r="I146" s="3"/>
      <c r="J146" s="4" t="s">
        <v>2</v>
      </c>
      <c r="K146" s="3"/>
      <c r="L146" s="3">
        <v>627</v>
      </c>
      <c r="M146" s="3">
        <f t="shared" si="123"/>
        <v>615</v>
      </c>
      <c r="N146" s="3"/>
    </row>
    <row r="147" spans="1:14" s="2" customFormat="1" x14ac:dyDescent="0.35">
      <c r="A147" s="2" t="s">
        <v>34</v>
      </c>
      <c r="B147" s="4">
        <f>+SUM(B140:B146)</f>
        <v>9022</v>
      </c>
      <c r="C147" s="4">
        <f t="shared" ref="C147:N147" si="124">+SUM(C140:C146)</f>
        <v>0</v>
      </c>
      <c r="D147" s="4">
        <f t="shared" si="124"/>
        <v>0</v>
      </c>
      <c r="E147" s="4">
        <f t="shared" si="124"/>
        <v>9025</v>
      </c>
      <c r="F147" s="4">
        <f t="shared" si="124"/>
        <v>9081</v>
      </c>
      <c r="G147" s="4">
        <f t="shared" si="124"/>
        <v>8976</v>
      </c>
      <c r="H147" s="4">
        <f t="shared" si="124"/>
        <v>9348</v>
      </c>
      <c r="I147" s="4">
        <f t="shared" si="124"/>
        <v>0</v>
      </c>
      <c r="J147" s="4" t="s">
        <v>2</v>
      </c>
      <c r="K147" s="4">
        <f t="shared" ref="K147:L147" si="125">+SUM(K140:K146)</f>
        <v>0</v>
      </c>
      <c r="L147" s="4">
        <f t="shared" si="125"/>
        <v>7822</v>
      </c>
      <c r="M147" s="4">
        <f t="shared" si="124"/>
        <v>9025</v>
      </c>
      <c r="N147" s="4">
        <f t="shared" si="124"/>
        <v>0</v>
      </c>
    </row>
    <row r="148" spans="1:14" s="2" customFormat="1" x14ac:dyDescent="0.35">
      <c r="A148" s="2" t="s">
        <v>35</v>
      </c>
      <c r="B148" s="4">
        <f>+B147+B139</f>
        <v>25372</v>
      </c>
      <c r="C148" s="4">
        <f t="shared" ref="C148:N148" si="126">+C147+C139</f>
        <v>0</v>
      </c>
      <c r="D148" s="4">
        <f t="shared" si="126"/>
        <v>0</v>
      </c>
      <c r="E148" s="4">
        <f t="shared" si="126"/>
        <v>25375</v>
      </c>
      <c r="F148" s="4">
        <f t="shared" si="126"/>
        <v>25821</v>
      </c>
      <c r="G148" s="4">
        <f t="shared" si="126"/>
        <v>24428</v>
      </c>
      <c r="H148" s="4">
        <f t="shared" si="126"/>
        <v>25267</v>
      </c>
      <c r="I148" s="4">
        <f t="shared" si="126"/>
        <v>0</v>
      </c>
      <c r="J148" s="4" t="s">
        <v>2</v>
      </c>
      <c r="K148" s="4">
        <f t="shared" ref="K148:L148" si="127">+K147+K139</f>
        <v>0</v>
      </c>
      <c r="L148" s="4">
        <f t="shared" si="127"/>
        <v>24580</v>
      </c>
      <c r="M148" s="4">
        <f t="shared" si="126"/>
        <v>25375</v>
      </c>
      <c r="N148" s="4">
        <f t="shared" si="126"/>
        <v>0</v>
      </c>
    </row>
    <row r="149" spans="1:14" s="2" customFormat="1" x14ac:dyDescent="0.35">
      <c r="A149" s="2" t="s">
        <v>31</v>
      </c>
      <c r="B149" s="4"/>
      <c r="C149" s="4"/>
      <c r="D149" s="4"/>
      <c r="E149" s="4"/>
      <c r="F149" s="4"/>
      <c r="G149" s="4"/>
      <c r="H149" s="4"/>
      <c r="I149" s="4"/>
      <c r="J149" s="4" t="s">
        <v>2</v>
      </c>
      <c r="K149" s="4"/>
      <c r="L149" s="4"/>
      <c r="M149" s="4"/>
      <c r="N149" s="4"/>
    </row>
    <row r="150" spans="1:14" x14ac:dyDescent="0.35">
      <c r="A150" t="s">
        <v>56</v>
      </c>
      <c r="B150" s="3">
        <v>797</v>
      </c>
      <c r="C150" s="3"/>
      <c r="D150" s="3"/>
      <c r="E150" s="3">
        <v>797</v>
      </c>
      <c r="F150" s="3">
        <v>1010</v>
      </c>
      <c r="G150" s="3">
        <v>949</v>
      </c>
      <c r="H150" s="3">
        <v>755</v>
      </c>
      <c r="I150" s="3"/>
      <c r="J150" s="4" t="s">
        <v>2</v>
      </c>
      <c r="K150" s="3"/>
      <c r="L150" s="3">
        <v>546</v>
      </c>
      <c r="M150" s="3">
        <f t="shared" ref="M150:M155" si="128">E150</f>
        <v>797</v>
      </c>
      <c r="N150" s="3"/>
    </row>
    <row r="151" spans="1:14" x14ac:dyDescent="0.35">
      <c r="A151" t="s">
        <v>57</v>
      </c>
      <c r="B151" s="3">
        <v>5</v>
      </c>
      <c r="C151" s="3"/>
      <c r="D151" s="3"/>
      <c r="E151" s="3">
        <v>5</v>
      </c>
      <c r="F151" s="3">
        <v>6</v>
      </c>
      <c r="G151" s="3">
        <v>5</v>
      </c>
      <c r="H151" s="3">
        <v>663</v>
      </c>
      <c r="I151" s="3"/>
      <c r="J151" s="4" t="s">
        <v>2</v>
      </c>
      <c r="K151" s="3"/>
      <c r="L151" s="3">
        <v>846</v>
      </c>
      <c r="M151" s="3">
        <f t="shared" si="128"/>
        <v>5</v>
      </c>
      <c r="N151" s="3"/>
    </row>
    <row r="152" spans="1:14" x14ac:dyDescent="0.35">
      <c r="A152" t="s">
        <v>58</v>
      </c>
      <c r="B152" s="3">
        <v>3664</v>
      </c>
      <c r="C152" s="3"/>
      <c r="D152" s="3"/>
      <c r="E152" s="3">
        <v>3664</v>
      </c>
      <c r="F152" s="3">
        <v>4503</v>
      </c>
      <c r="G152" s="3">
        <v>3429</v>
      </c>
      <c r="H152" s="3">
        <v>3211</v>
      </c>
      <c r="I152" s="3"/>
      <c r="J152" s="4" t="s">
        <v>2</v>
      </c>
      <c r="K152" s="3"/>
      <c r="L152" s="3">
        <v>4386</v>
      </c>
      <c r="M152" s="3">
        <f t="shared" si="128"/>
        <v>3664</v>
      </c>
      <c r="N152" s="3"/>
    </row>
    <row r="153" spans="1:14" x14ac:dyDescent="0.35">
      <c r="A153" t="s">
        <v>59</v>
      </c>
      <c r="B153" s="3">
        <v>308</v>
      </c>
      <c r="C153" s="3"/>
      <c r="D153" s="3"/>
      <c r="E153" s="3">
        <v>308</v>
      </c>
      <c r="F153" s="3">
        <v>315</v>
      </c>
      <c r="G153" s="3">
        <v>300</v>
      </c>
      <c r="H153" s="3">
        <v>288</v>
      </c>
      <c r="I153" s="3"/>
      <c r="J153" s="4" t="s">
        <v>2</v>
      </c>
      <c r="K153" s="3"/>
      <c r="L153" s="3">
        <v>425</v>
      </c>
      <c r="M153" s="3">
        <f t="shared" si="128"/>
        <v>308</v>
      </c>
      <c r="N153" s="3"/>
    </row>
    <row r="154" spans="1:14" x14ac:dyDescent="0.35">
      <c r="A154" t="s">
        <v>132</v>
      </c>
      <c r="B154" s="3"/>
      <c r="C154" s="3"/>
      <c r="D154" s="3"/>
      <c r="E154" s="3"/>
      <c r="F154" s="3"/>
      <c r="G154" s="3"/>
      <c r="H154" s="3"/>
      <c r="I154" s="3"/>
      <c r="J154" s="4" t="s">
        <v>2</v>
      </c>
      <c r="K154" s="3"/>
      <c r="L154" s="3">
        <v>18</v>
      </c>
      <c r="M154" s="3">
        <v>0</v>
      </c>
      <c r="N154" s="3"/>
    </row>
    <row r="155" spans="1:14" x14ac:dyDescent="0.35">
      <c r="A155" t="s">
        <v>61</v>
      </c>
      <c r="B155" s="3">
        <v>2913</v>
      </c>
      <c r="C155" s="3"/>
      <c r="D155" s="3"/>
      <c r="E155" s="3">
        <v>2913</v>
      </c>
      <c r="F155" s="3">
        <v>2595</v>
      </c>
      <c r="G155" s="3">
        <v>2923</v>
      </c>
      <c r="H155" s="3">
        <v>2774</v>
      </c>
      <c r="I155" s="3"/>
      <c r="J155" s="4" t="s">
        <v>2</v>
      </c>
      <c r="K155" s="3"/>
      <c r="L155" s="3">
        <v>3379</v>
      </c>
      <c r="M155" s="3">
        <f t="shared" si="128"/>
        <v>2913</v>
      </c>
      <c r="N155" s="3"/>
    </row>
    <row r="156" spans="1:14" s="2" customFormat="1" x14ac:dyDescent="0.35">
      <c r="A156" s="2" t="s">
        <v>36</v>
      </c>
      <c r="B156" s="4">
        <f>+SUM(B150:B155)</f>
        <v>7687</v>
      </c>
      <c r="C156" s="4">
        <f t="shared" ref="C156:I156" si="129">+SUM(C150:C155)</f>
        <v>0</v>
      </c>
      <c r="D156" s="4">
        <f t="shared" si="129"/>
        <v>0</v>
      </c>
      <c r="E156" s="4">
        <f t="shared" si="129"/>
        <v>7687</v>
      </c>
      <c r="F156" s="4">
        <f t="shared" si="129"/>
        <v>8429</v>
      </c>
      <c r="G156" s="4">
        <f t="shared" si="129"/>
        <v>7606</v>
      </c>
      <c r="H156" s="4">
        <f t="shared" si="129"/>
        <v>7691</v>
      </c>
      <c r="I156" s="4">
        <f t="shared" si="129"/>
        <v>0</v>
      </c>
      <c r="J156" s="4" t="s">
        <v>2</v>
      </c>
      <c r="K156" s="4">
        <f t="shared" ref="K156:L156" si="130">+SUM(K150:K155)</f>
        <v>0</v>
      </c>
      <c r="L156" s="4">
        <f t="shared" si="130"/>
        <v>9600</v>
      </c>
      <c r="M156" s="4">
        <f t="shared" ref="M156:N156" si="131">+SUM(M150:M155)</f>
        <v>7687</v>
      </c>
      <c r="N156" s="4">
        <f t="shared" si="131"/>
        <v>0</v>
      </c>
    </row>
    <row r="157" spans="1:14" x14ac:dyDescent="0.35">
      <c r="A157" t="s">
        <v>62</v>
      </c>
      <c r="B157" s="3">
        <v>4080</v>
      </c>
      <c r="C157" s="3"/>
      <c r="D157" s="3"/>
      <c r="E157" s="3">
        <v>4080</v>
      </c>
      <c r="F157" s="3">
        <v>4079</v>
      </c>
      <c r="G157" s="3">
        <v>4086</v>
      </c>
      <c r="H157" s="3">
        <v>4777</v>
      </c>
      <c r="I157" s="3"/>
      <c r="J157" s="4" t="s">
        <v>2</v>
      </c>
      <c r="K157" s="3"/>
      <c r="L157" s="3">
        <v>3259</v>
      </c>
      <c r="M157" s="3">
        <f t="shared" ref="M157:M160" si="132">E157</f>
        <v>4080</v>
      </c>
      <c r="N157" s="3"/>
    </row>
    <row r="158" spans="1:14" x14ac:dyDescent="0.35">
      <c r="A158" t="s">
        <v>55</v>
      </c>
      <c r="B158" s="3">
        <v>400</v>
      </c>
      <c r="C158" s="3"/>
      <c r="D158" s="3"/>
      <c r="E158" s="3">
        <v>400</v>
      </c>
      <c r="F158" s="3">
        <v>385</v>
      </c>
      <c r="G158" s="3">
        <v>369</v>
      </c>
      <c r="H158" s="3">
        <v>376</v>
      </c>
      <c r="I158" s="3"/>
      <c r="J158" s="4" t="s">
        <v>2</v>
      </c>
      <c r="K158" s="3"/>
      <c r="L158" s="3">
        <v>365</v>
      </c>
      <c r="M158" s="3">
        <f t="shared" si="132"/>
        <v>400</v>
      </c>
      <c r="N158" s="3"/>
    </row>
    <row r="159" spans="1:14" x14ac:dyDescent="0.35">
      <c r="A159" t="s">
        <v>63</v>
      </c>
      <c r="B159" s="3">
        <v>566</v>
      </c>
      <c r="C159" s="3"/>
      <c r="D159" s="3"/>
      <c r="E159" s="3">
        <v>566</v>
      </c>
      <c r="F159" s="3">
        <v>557</v>
      </c>
      <c r="G159" s="3">
        <v>577</v>
      </c>
      <c r="H159" s="3">
        <v>595</v>
      </c>
      <c r="I159" s="3"/>
      <c r="J159" s="4" t="s">
        <v>2</v>
      </c>
      <c r="K159" s="3"/>
      <c r="L159" s="3">
        <v>547</v>
      </c>
      <c r="M159" s="3">
        <f t="shared" si="132"/>
        <v>566</v>
      </c>
      <c r="N159" s="3"/>
    </row>
    <row r="160" spans="1:14" x14ac:dyDescent="0.35">
      <c r="A160" t="s">
        <v>60</v>
      </c>
      <c r="B160" s="3">
        <v>824</v>
      </c>
      <c r="C160" s="3"/>
      <c r="D160" s="3"/>
      <c r="E160" s="3">
        <v>824</v>
      </c>
      <c r="F160" s="3">
        <v>842</v>
      </c>
      <c r="G160" s="3">
        <v>805</v>
      </c>
      <c r="H160" s="3">
        <v>670</v>
      </c>
      <c r="I160" s="3"/>
      <c r="J160" s="4" t="s">
        <v>2</v>
      </c>
      <c r="K160" s="3"/>
      <c r="L160" s="3">
        <v>849</v>
      </c>
      <c r="M160" s="3">
        <f t="shared" si="132"/>
        <v>824</v>
      </c>
      <c r="N160" s="3"/>
    </row>
    <row r="161" spans="1:14" s="2" customFormat="1" x14ac:dyDescent="0.35">
      <c r="A161" s="2" t="s">
        <v>37</v>
      </c>
      <c r="B161" s="4">
        <f>+SUM(B157:B160)</f>
        <v>5870</v>
      </c>
      <c r="C161" s="4">
        <f t="shared" ref="C161:N161" si="133">+SUM(C157:C160)</f>
        <v>0</v>
      </c>
      <c r="D161" s="4">
        <f t="shared" si="133"/>
        <v>0</v>
      </c>
      <c r="E161" s="4">
        <f t="shared" si="133"/>
        <v>5870</v>
      </c>
      <c r="F161" s="4">
        <f t="shared" si="133"/>
        <v>5863</v>
      </c>
      <c r="G161" s="4">
        <f t="shared" si="133"/>
        <v>5837</v>
      </c>
      <c r="H161" s="4">
        <f t="shared" si="133"/>
        <v>6418</v>
      </c>
      <c r="I161" s="4">
        <f t="shared" si="133"/>
        <v>0</v>
      </c>
      <c r="J161" s="4" t="s">
        <v>2</v>
      </c>
      <c r="K161" s="4">
        <f t="shared" ref="K161:L161" si="134">+SUM(K157:K160)</f>
        <v>0</v>
      </c>
      <c r="L161" s="4">
        <f t="shared" si="134"/>
        <v>5020</v>
      </c>
      <c r="M161" s="4">
        <f t="shared" si="133"/>
        <v>5870</v>
      </c>
      <c r="N161" s="4">
        <f t="shared" si="133"/>
        <v>0</v>
      </c>
    </row>
    <row r="162" spans="1:14" s="2" customFormat="1" x14ac:dyDescent="0.35">
      <c r="A162" s="2" t="s">
        <v>38</v>
      </c>
      <c r="B162" s="4">
        <f>+B161+B156</f>
        <v>13557</v>
      </c>
      <c r="C162" s="4">
        <f t="shared" ref="C162:I162" si="135">+C161+C156</f>
        <v>0</v>
      </c>
      <c r="D162" s="4">
        <f t="shared" si="135"/>
        <v>0</v>
      </c>
      <c r="E162" s="4">
        <f t="shared" si="135"/>
        <v>13557</v>
      </c>
      <c r="F162" s="4">
        <f t="shared" si="135"/>
        <v>14292</v>
      </c>
      <c r="G162" s="4">
        <f t="shared" si="135"/>
        <v>13443</v>
      </c>
      <c r="H162" s="4">
        <f t="shared" si="135"/>
        <v>14109</v>
      </c>
      <c r="I162" s="4">
        <f t="shared" si="135"/>
        <v>0</v>
      </c>
      <c r="J162" s="4" t="s">
        <v>2</v>
      </c>
      <c r="K162" s="4">
        <f>+K161+K156</f>
        <v>0</v>
      </c>
      <c r="L162" s="4">
        <f>+L161+L156</f>
        <v>14620</v>
      </c>
      <c r="M162" s="4">
        <f>+M161+M156</f>
        <v>13557</v>
      </c>
      <c r="N162" s="4">
        <f>+N161+N156</f>
        <v>0</v>
      </c>
    </row>
    <row r="163" spans="1:14" x14ac:dyDescent="0.35">
      <c r="A163" t="s">
        <v>39</v>
      </c>
      <c r="B163" s="3">
        <v>1</v>
      </c>
      <c r="C163" s="3"/>
      <c r="D163" s="3"/>
      <c r="E163" s="3">
        <v>1</v>
      </c>
      <c r="F163" s="3">
        <v>1</v>
      </c>
      <c r="G163" s="3">
        <v>1</v>
      </c>
      <c r="H163" s="3">
        <v>2</v>
      </c>
      <c r="I163" s="3"/>
      <c r="J163" s="4" t="s">
        <v>2</v>
      </c>
      <c r="K163" s="3"/>
      <c r="L163" s="3">
        <v>4</v>
      </c>
      <c r="M163" s="3">
        <f>E163</f>
        <v>1</v>
      </c>
      <c r="N163" s="3"/>
    </row>
    <row r="164" spans="1:14" s="2" customFormat="1" x14ac:dyDescent="0.35">
      <c r="A164" s="2" t="s">
        <v>30</v>
      </c>
      <c r="B164" s="4"/>
      <c r="C164" s="4"/>
      <c r="D164" s="4"/>
      <c r="E164" s="4"/>
      <c r="F164" s="4"/>
      <c r="G164" s="4"/>
      <c r="H164" s="4"/>
      <c r="I164" s="4"/>
      <c r="J164" s="4" t="s">
        <v>2</v>
      </c>
      <c r="K164" s="4"/>
      <c r="L164" s="4"/>
      <c r="M164" s="4"/>
      <c r="N164" s="4"/>
    </row>
    <row r="165" spans="1:14" x14ac:dyDescent="0.35">
      <c r="A165" t="s">
        <v>66</v>
      </c>
      <c r="B165" s="3">
        <v>1</v>
      </c>
      <c r="C165" s="3"/>
      <c r="D165" s="3"/>
      <c r="E165" s="3">
        <v>1</v>
      </c>
      <c r="F165" s="3">
        <v>1</v>
      </c>
      <c r="G165" s="3">
        <v>1</v>
      </c>
      <c r="H165" s="3">
        <v>1</v>
      </c>
      <c r="I165" s="3"/>
      <c r="J165" s="4" t="s">
        <v>2</v>
      </c>
      <c r="K165" s="3"/>
      <c r="L165" s="3">
        <v>1</v>
      </c>
      <c r="M165" s="3">
        <f t="shared" ref="M165:M169" si="136">E165</f>
        <v>1</v>
      </c>
      <c r="N165" s="3"/>
    </row>
    <row r="166" spans="1:14" x14ac:dyDescent="0.35">
      <c r="A166" t="s">
        <v>67</v>
      </c>
      <c r="B166" s="3">
        <v>5900</v>
      </c>
      <c r="C166" s="3"/>
      <c r="D166" s="3"/>
      <c r="E166" s="3">
        <v>5900</v>
      </c>
      <c r="F166" s="3">
        <v>5854</v>
      </c>
      <c r="G166" s="3">
        <v>5869</v>
      </c>
      <c r="H166" s="3">
        <v>5881</v>
      </c>
      <c r="I166" s="3"/>
      <c r="J166" s="4" t="s">
        <v>2</v>
      </c>
      <c r="K166" s="3"/>
      <c r="L166" s="3">
        <v>6692</v>
      </c>
      <c r="M166" s="3">
        <f t="shared" si="136"/>
        <v>5900</v>
      </c>
      <c r="N166" s="3"/>
    </row>
    <row r="167" spans="1:14" x14ac:dyDescent="0.35">
      <c r="A167" t="s">
        <v>68</v>
      </c>
      <c r="B167" s="3">
        <v>12077</v>
      </c>
      <c r="C167" s="3"/>
      <c r="D167" s="3"/>
      <c r="E167" s="3">
        <v>12077</v>
      </c>
      <c r="F167" s="3">
        <v>12321</v>
      </c>
      <c r="G167" s="3">
        <v>12005</v>
      </c>
      <c r="H167" s="3">
        <v>12231</v>
      </c>
      <c r="I167" s="3"/>
      <c r="J167" s="4" t="s">
        <v>2</v>
      </c>
      <c r="K167" s="3"/>
      <c r="L167" s="3">
        <v>10222</v>
      </c>
      <c r="M167" s="3">
        <f t="shared" si="136"/>
        <v>12077</v>
      </c>
      <c r="N167" s="3"/>
    </row>
    <row r="168" spans="1:14" x14ac:dyDescent="0.35">
      <c r="A168" t="s">
        <v>69</v>
      </c>
      <c r="B168" s="3">
        <v>-6054</v>
      </c>
      <c r="C168" s="3"/>
      <c r="D168" s="3"/>
      <c r="E168" s="3">
        <v>-6054</v>
      </c>
      <c r="F168" s="3">
        <v>-6194</v>
      </c>
      <c r="G168" s="3">
        <v>-6446</v>
      </c>
      <c r="H168" s="3">
        <v>-6354</v>
      </c>
      <c r="I168" s="3"/>
      <c r="J168" s="4" t="s">
        <v>2</v>
      </c>
      <c r="K168" s="3"/>
      <c r="L168" s="3">
        <v>-6371</v>
      </c>
      <c r="M168" s="3">
        <f t="shared" si="136"/>
        <v>-6054</v>
      </c>
      <c r="N168" s="3"/>
    </row>
    <row r="169" spans="1:14" x14ac:dyDescent="0.35">
      <c r="A169" t="s">
        <v>70</v>
      </c>
      <c r="B169" s="3">
        <v>-1073</v>
      </c>
      <c r="C169" s="3"/>
      <c r="D169" s="3"/>
      <c r="E169" s="3">
        <v>-1073</v>
      </c>
      <c r="F169" s="3">
        <v>-1431</v>
      </c>
      <c r="G169" s="3">
        <v>-1427</v>
      </c>
      <c r="H169" s="3">
        <v>-1624</v>
      </c>
      <c r="I169" s="3"/>
      <c r="J169" s="4" t="s">
        <v>2</v>
      </c>
      <c r="K169" s="3"/>
      <c r="L169" s="3">
        <v>-1320</v>
      </c>
      <c r="M169" s="3">
        <f t="shared" si="136"/>
        <v>-1073</v>
      </c>
      <c r="N169" s="3"/>
    </row>
    <row r="170" spans="1:14" s="2" customFormat="1" x14ac:dyDescent="0.35">
      <c r="A170" s="2" t="s">
        <v>40</v>
      </c>
      <c r="B170" s="4">
        <f>+SUM(B165:B169)</f>
        <v>10851</v>
      </c>
      <c r="C170" s="4">
        <f t="shared" ref="C170:N170" si="137">+SUM(C165:C169)</f>
        <v>0</v>
      </c>
      <c r="D170" s="4">
        <f t="shared" si="137"/>
        <v>0</v>
      </c>
      <c r="E170" s="4">
        <f t="shared" si="137"/>
        <v>10851</v>
      </c>
      <c r="F170" s="4">
        <f t="shared" si="137"/>
        <v>10551</v>
      </c>
      <c r="G170" s="4">
        <f t="shared" si="137"/>
        <v>10002</v>
      </c>
      <c r="H170" s="4">
        <f t="shared" si="137"/>
        <v>10135</v>
      </c>
      <c r="I170" s="4">
        <f t="shared" si="137"/>
        <v>0</v>
      </c>
      <c r="J170" s="4" t="s">
        <v>2</v>
      </c>
      <c r="K170" s="4">
        <f t="shared" ref="K170:L170" si="138">+SUM(K165:K169)</f>
        <v>0</v>
      </c>
      <c r="L170" s="4">
        <f t="shared" si="138"/>
        <v>9224</v>
      </c>
      <c r="M170" s="4">
        <f t="shared" si="137"/>
        <v>10851</v>
      </c>
      <c r="N170" s="4">
        <f t="shared" si="137"/>
        <v>0</v>
      </c>
    </row>
    <row r="171" spans="1:14" x14ac:dyDescent="0.35">
      <c r="A171" t="s">
        <v>41</v>
      </c>
      <c r="B171" s="3">
        <v>963</v>
      </c>
      <c r="C171" s="3"/>
      <c r="D171" s="3"/>
      <c r="E171" s="3">
        <v>963</v>
      </c>
      <c r="F171" s="3">
        <v>977</v>
      </c>
      <c r="G171" s="3">
        <v>982</v>
      </c>
      <c r="H171" s="3">
        <v>1021</v>
      </c>
      <c r="I171" s="3"/>
      <c r="J171" s="4" t="s">
        <v>2</v>
      </c>
      <c r="K171" s="3"/>
      <c r="L171" s="3">
        <v>732</v>
      </c>
      <c r="M171" s="3">
        <f>E171</f>
        <v>963</v>
      </c>
      <c r="N171" s="3"/>
    </row>
    <row r="172" spans="1:14" s="2" customFormat="1" x14ac:dyDescent="0.35">
      <c r="A172" s="2" t="s">
        <v>42</v>
      </c>
      <c r="B172" s="4">
        <f>+B171+B170</f>
        <v>11814</v>
      </c>
      <c r="C172" s="4">
        <f t="shared" ref="C172:N172" si="139">+C171+C170</f>
        <v>0</v>
      </c>
      <c r="D172" s="4">
        <f t="shared" si="139"/>
        <v>0</v>
      </c>
      <c r="E172" s="4">
        <f t="shared" si="139"/>
        <v>11814</v>
      </c>
      <c r="F172" s="4">
        <f t="shared" si="139"/>
        <v>11528</v>
      </c>
      <c r="G172" s="4">
        <f t="shared" si="139"/>
        <v>10984</v>
      </c>
      <c r="H172" s="4">
        <f t="shared" si="139"/>
        <v>11156</v>
      </c>
      <c r="I172" s="4">
        <f t="shared" si="139"/>
        <v>0</v>
      </c>
      <c r="J172" s="4" t="s">
        <v>2</v>
      </c>
      <c r="K172" s="4">
        <f t="shared" ref="K172:L172" si="140">+K171+K170</f>
        <v>0</v>
      </c>
      <c r="L172" s="4">
        <f t="shared" si="140"/>
        <v>9956</v>
      </c>
      <c r="M172" s="4">
        <f t="shared" si="139"/>
        <v>11814</v>
      </c>
      <c r="N172" s="4">
        <f t="shared" si="139"/>
        <v>0</v>
      </c>
    </row>
    <row r="173" spans="1:14" s="2" customFormat="1" x14ac:dyDescent="0.35">
      <c r="A173" s="2" t="s">
        <v>43</v>
      </c>
      <c r="B173" s="4">
        <f>+B172+B162+B163</f>
        <v>25372</v>
      </c>
      <c r="C173" s="4">
        <f t="shared" ref="C173:N173" si="141">+C172+C162+C163</f>
        <v>0</v>
      </c>
      <c r="D173" s="4">
        <f t="shared" si="141"/>
        <v>0</v>
      </c>
      <c r="E173" s="4">
        <f t="shared" si="141"/>
        <v>25372</v>
      </c>
      <c r="F173" s="4">
        <f t="shared" si="141"/>
        <v>25821</v>
      </c>
      <c r="G173" s="4">
        <f t="shared" si="141"/>
        <v>24428</v>
      </c>
      <c r="H173" s="4">
        <f t="shared" si="141"/>
        <v>25267</v>
      </c>
      <c r="I173" s="4">
        <f t="shared" si="141"/>
        <v>0</v>
      </c>
      <c r="J173" s="4" t="s">
        <v>2</v>
      </c>
      <c r="K173" s="4">
        <f t="shared" ref="K173:L173" si="142">+K172+K162+K163</f>
        <v>0</v>
      </c>
      <c r="L173" s="4">
        <f t="shared" si="142"/>
        <v>24580</v>
      </c>
      <c r="M173" s="4">
        <f t="shared" si="141"/>
        <v>25372</v>
      </c>
      <c r="N173" s="4">
        <f t="shared" si="141"/>
        <v>0</v>
      </c>
    </row>
    <row r="174" spans="1:14" s="2" customFormat="1" x14ac:dyDescent="0.35">
      <c r="B174" s="4"/>
      <c r="C174" s="4"/>
      <c r="D174" s="4"/>
      <c r="E174" s="4"/>
      <c r="F174" s="4"/>
      <c r="G174" s="4"/>
      <c r="H174" s="4"/>
      <c r="I174" s="4"/>
      <c r="J174" s="4" t="s">
        <v>2</v>
      </c>
      <c r="K174" s="4"/>
      <c r="L174" s="4"/>
      <c r="M174" s="4"/>
      <c r="N174" s="4"/>
    </row>
    <row r="175" spans="1:14" s="2" customFormat="1" x14ac:dyDescent="0.35">
      <c r="A175" s="2" t="s">
        <v>164</v>
      </c>
      <c r="B175" s="4"/>
      <c r="C175" s="4"/>
      <c r="D175" s="4"/>
      <c r="E175" s="4"/>
      <c r="F175" s="4"/>
      <c r="G175" s="4"/>
      <c r="H175" s="4"/>
      <c r="I175" s="4"/>
      <c r="J175" s="4" t="s">
        <v>2</v>
      </c>
      <c r="K175" s="4">
        <f>+SUM(K176:K182)</f>
        <v>0</v>
      </c>
      <c r="L175" s="4">
        <f t="shared" ref="L175:N175" si="143">+SUM(L176:L182)</f>
        <v>4217</v>
      </c>
      <c r="M175" s="4">
        <f t="shared" si="143"/>
        <v>4541</v>
      </c>
      <c r="N175" s="4">
        <f t="shared" si="143"/>
        <v>0</v>
      </c>
    </row>
    <row r="176" spans="1:14" x14ac:dyDescent="0.35">
      <c r="A176" t="s">
        <v>157</v>
      </c>
      <c r="B176" s="3"/>
      <c r="C176" s="3"/>
      <c r="D176" s="3"/>
      <c r="E176" s="3"/>
      <c r="F176" s="3"/>
      <c r="G176" s="3"/>
      <c r="H176" s="3"/>
      <c r="I176" s="3"/>
      <c r="J176" s="4" t="s">
        <v>2</v>
      </c>
      <c r="K176" s="3"/>
      <c r="L176" s="3">
        <v>955</v>
      </c>
      <c r="M176" s="3">
        <v>1090</v>
      </c>
      <c r="N176" s="3"/>
    </row>
    <row r="177" spans="1:14" x14ac:dyDescent="0.35">
      <c r="A177" t="s">
        <v>158</v>
      </c>
      <c r="B177" s="3"/>
      <c r="C177" s="3"/>
      <c r="D177" s="3"/>
      <c r="E177" s="3"/>
      <c r="F177" s="3"/>
      <c r="G177" s="3"/>
      <c r="H177" s="3"/>
      <c r="I177" s="3"/>
      <c r="J177" s="4" t="s">
        <v>2</v>
      </c>
      <c r="K177" s="3"/>
      <c r="L177" s="3">
        <v>1235</v>
      </c>
      <c r="M177" s="3">
        <v>1733</v>
      </c>
      <c r="N177" s="3"/>
    </row>
    <row r="178" spans="1:14" x14ac:dyDescent="0.35">
      <c r="A178" t="s">
        <v>159</v>
      </c>
      <c r="B178" s="3"/>
      <c r="C178" s="3"/>
      <c r="D178" s="3"/>
      <c r="E178" s="3"/>
      <c r="F178" s="3"/>
      <c r="G178" s="3"/>
      <c r="H178" s="3"/>
      <c r="I178" s="3"/>
      <c r="J178" s="4" t="s">
        <v>2</v>
      </c>
      <c r="K178" s="3"/>
      <c r="L178" s="3">
        <v>978</v>
      </c>
      <c r="M178" s="3">
        <v>386</v>
      </c>
      <c r="N178" s="3"/>
    </row>
    <row r="179" spans="1:14" x14ac:dyDescent="0.35">
      <c r="A179" t="s">
        <v>160</v>
      </c>
      <c r="B179" s="3"/>
      <c r="C179" s="3"/>
      <c r="D179" s="3"/>
      <c r="E179" s="3"/>
      <c r="F179" s="3"/>
      <c r="G179" s="3"/>
      <c r="H179" s="3"/>
      <c r="I179" s="3"/>
      <c r="J179" s="4" t="s">
        <v>2</v>
      </c>
      <c r="K179" s="3"/>
      <c r="L179" s="3">
        <v>545</v>
      </c>
      <c r="M179" s="3">
        <v>775</v>
      </c>
      <c r="N179" s="3"/>
    </row>
    <row r="180" spans="1:14" x14ac:dyDescent="0.35">
      <c r="A180" t="s">
        <v>161</v>
      </c>
      <c r="B180" s="3"/>
      <c r="C180" s="3"/>
      <c r="D180" s="3"/>
      <c r="E180" s="3"/>
      <c r="F180" s="3"/>
      <c r="G180" s="3"/>
      <c r="H180" s="3"/>
      <c r="I180" s="3"/>
      <c r="J180" s="4" t="s">
        <v>2</v>
      </c>
      <c r="K180" s="3"/>
      <c r="L180" s="3">
        <v>157</v>
      </c>
      <c r="M180" s="3">
        <v>188</v>
      </c>
      <c r="N180" s="3"/>
    </row>
    <row r="181" spans="1:14" x14ac:dyDescent="0.35">
      <c r="A181" t="s">
        <v>162</v>
      </c>
      <c r="B181" s="3"/>
      <c r="C181" s="3"/>
      <c r="D181" s="3"/>
      <c r="E181" s="3"/>
      <c r="F181" s="3"/>
      <c r="G181" s="3"/>
      <c r="H181" s="3"/>
      <c r="I181" s="3"/>
      <c r="J181" s="4" t="s">
        <v>2</v>
      </c>
      <c r="K181" s="3"/>
      <c r="L181" s="3">
        <v>334</v>
      </c>
      <c r="M181" s="3">
        <v>367</v>
      </c>
      <c r="N181" s="3"/>
    </row>
    <row r="182" spans="1:14" x14ac:dyDescent="0.35">
      <c r="A182" t="s">
        <v>163</v>
      </c>
      <c r="B182" s="3"/>
      <c r="C182" s="3"/>
      <c r="D182" s="3"/>
      <c r="E182" s="3"/>
      <c r="F182" s="3"/>
      <c r="G182" s="3"/>
      <c r="H182" s="3"/>
      <c r="I182" s="3"/>
      <c r="J182" s="4" t="s">
        <v>2</v>
      </c>
      <c r="K182" s="3"/>
      <c r="L182" s="3">
        <v>13</v>
      </c>
      <c r="M182" s="3">
        <v>2</v>
      </c>
      <c r="N182" s="3"/>
    </row>
    <row r="183" spans="1:14" s="2" customFormat="1" x14ac:dyDescent="0.35">
      <c r="B183" s="4"/>
      <c r="C183" s="4"/>
      <c r="D183" s="4"/>
      <c r="E183" s="4"/>
      <c r="F183" s="4"/>
      <c r="G183" s="4"/>
      <c r="H183" s="4"/>
      <c r="I183" s="4"/>
      <c r="J183" s="4" t="s">
        <v>2</v>
      </c>
      <c r="K183" s="4"/>
      <c r="L183" s="4"/>
      <c r="M183" s="4"/>
      <c r="N183" s="4"/>
    </row>
    <row r="184" spans="1:14" s="2" customFormat="1" x14ac:dyDescent="0.35">
      <c r="A184" s="2" t="s">
        <v>48</v>
      </c>
      <c r="B184" s="4">
        <f>+SUM(B185:B188)</f>
        <v>7105</v>
      </c>
      <c r="C184" s="4">
        <f>+SUM(C185:C188)</f>
        <v>0</v>
      </c>
      <c r="D184" s="4">
        <f t="shared" ref="D184:I184" si="144">+SUM(D185:D188)</f>
        <v>0</v>
      </c>
      <c r="E184" s="4">
        <f>+SUM(E185:E188)</f>
        <v>7105</v>
      </c>
      <c r="F184" s="4">
        <f t="shared" si="144"/>
        <v>7505</v>
      </c>
      <c r="G184" s="4">
        <f t="shared" si="144"/>
        <v>8057</v>
      </c>
      <c r="H184" s="4">
        <f t="shared" si="144"/>
        <v>7465</v>
      </c>
      <c r="I184" s="4">
        <f t="shared" si="144"/>
        <v>0</v>
      </c>
      <c r="J184" s="4" t="s">
        <v>2</v>
      </c>
      <c r="K184" s="4">
        <f t="shared" ref="K184:L184" si="145">+SUM(K185:K188)</f>
        <v>0</v>
      </c>
      <c r="L184" s="4">
        <f t="shared" si="145"/>
        <v>8408</v>
      </c>
      <c r="M184" s="4">
        <f t="shared" ref="M184:N184" si="146">+SUM(M185:M188)</f>
        <v>7105</v>
      </c>
      <c r="N184" s="4">
        <f t="shared" si="146"/>
        <v>0</v>
      </c>
    </row>
    <row r="185" spans="1:14" x14ac:dyDescent="0.35">
      <c r="A185" t="s">
        <v>87</v>
      </c>
      <c r="B185" s="3">
        <v>5830</v>
      </c>
      <c r="C185" s="3"/>
      <c r="D185" s="3"/>
      <c r="E185" s="3">
        <v>5830</v>
      </c>
      <c r="F185" s="3">
        <v>6256</v>
      </c>
      <c r="G185" s="3">
        <v>6848</v>
      </c>
      <c r="H185" s="3">
        <v>6163</v>
      </c>
      <c r="I185" s="3"/>
      <c r="J185" s="4" t="s">
        <v>2</v>
      </c>
      <c r="K185" s="3"/>
      <c r="L185" s="3">
        <v>6756</v>
      </c>
      <c r="M185" s="3">
        <f t="shared" ref="M185:M188" si="147">E185</f>
        <v>5830</v>
      </c>
      <c r="N185" s="3"/>
    </row>
    <row r="186" spans="1:14" x14ac:dyDescent="0.35">
      <c r="A186" t="s">
        <v>88</v>
      </c>
      <c r="B186" s="3">
        <v>1096</v>
      </c>
      <c r="C186" s="3"/>
      <c r="D186" s="3"/>
      <c r="E186" s="3">
        <v>1096</v>
      </c>
      <c r="F186" s="3">
        <v>1072</v>
      </c>
      <c r="G186" s="3">
        <v>1061</v>
      </c>
      <c r="H186" s="3">
        <v>1134</v>
      </c>
      <c r="I186" s="3"/>
      <c r="J186" s="4" t="s">
        <v>2</v>
      </c>
      <c r="K186" s="3"/>
      <c r="L186" s="3">
        <v>1316</v>
      </c>
      <c r="M186" s="3">
        <f t="shared" si="147"/>
        <v>1096</v>
      </c>
      <c r="N186" s="3"/>
    </row>
    <row r="187" spans="1:14" x14ac:dyDescent="0.35">
      <c r="A187" t="s">
        <v>89</v>
      </c>
      <c r="B187" s="3">
        <v>175</v>
      </c>
      <c r="C187" s="3"/>
      <c r="D187" s="3"/>
      <c r="E187" s="3">
        <v>175</v>
      </c>
      <c r="F187" s="3">
        <v>172</v>
      </c>
      <c r="G187" s="3">
        <v>143</v>
      </c>
      <c r="H187" s="3">
        <v>162</v>
      </c>
      <c r="I187" s="3"/>
      <c r="J187" s="4" t="s">
        <v>2</v>
      </c>
      <c r="K187" s="3"/>
      <c r="L187" s="3">
        <v>332</v>
      </c>
      <c r="M187" s="3">
        <f t="shared" si="147"/>
        <v>175</v>
      </c>
      <c r="N187" s="3"/>
    </row>
    <row r="188" spans="1:14" x14ac:dyDescent="0.35">
      <c r="A188" t="s">
        <v>90</v>
      </c>
      <c r="B188" s="3">
        <v>4</v>
      </c>
      <c r="C188" s="3"/>
      <c r="D188" s="3"/>
      <c r="E188" s="3">
        <v>4</v>
      </c>
      <c r="F188" s="3">
        <v>5</v>
      </c>
      <c r="G188" s="3">
        <v>5</v>
      </c>
      <c r="H188" s="3">
        <v>6</v>
      </c>
      <c r="I188" s="3"/>
      <c r="J188" s="4" t="s">
        <v>2</v>
      </c>
      <c r="K188" s="3"/>
      <c r="L188" s="3">
        <v>4</v>
      </c>
      <c r="M188" s="3">
        <f t="shared" si="147"/>
        <v>4</v>
      </c>
      <c r="N188" s="3"/>
    </row>
    <row r="189" spans="1:14" x14ac:dyDescent="0.35">
      <c r="B189" s="3"/>
      <c r="C189" s="3"/>
      <c r="D189" s="3"/>
      <c r="E189" s="3"/>
      <c r="F189" s="3"/>
      <c r="G189" s="3"/>
      <c r="H189" s="3"/>
      <c r="I189" s="3"/>
      <c r="J189" s="4" t="s">
        <v>2</v>
      </c>
      <c r="K189" s="3"/>
      <c r="L189" s="3"/>
      <c r="M189" s="3"/>
      <c r="N189" s="3"/>
    </row>
    <row r="190" spans="1:14" s="2" customFormat="1" x14ac:dyDescent="0.35">
      <c r="A190" s="2" t="s">
        <v>91</v>
      </c>
      <c r="B190" s="4">
        <f>+SUM(B191:B193)</f>
        <v>0</v>
      </c>
      <c r="C190" s="4">
        <f t="shared" ref="C190:I190" si="148">+SUM(C191:C193)</f>
        <v>0</v>
      </c>
      <c r="D190" s="4">
        <f t="shared" si="148"/>
        <v>0</v>
      </c>
      <c r="E190" s="4">
        <f t="shared" si="148"/>
        <v>5837</v>
      </c>
      <c r="F190" s="4">
        <f t="shared" si="148"/>
        <v>0</v>
      </c>
      <c r="G190" s="4">
        <f t="shared" si="148"/>
        <v>6776</v>
      </c>
      <c r="H190" s="4">
        <f t="shared" si="148"/>
        <v>6195</v>
      </c>
      <c r="I190" s="4">
        <f t="shared" si="148"/>
        <v>0</v>
      </c>
      <c r="J190" s="4" t="s">
        <v>2</v>
      </c>
      <c r="K190" s="4">
        <f t="shared" ref="K190:L190" si="149">+SUM(K191:K193)</f>
        <v>0</v>
      </c>
      <c r="L190" s="4">
        <f t="shared" si="149"/>
        <v>6654</v>
      </c>
      <c r="M190" s="4">
        <f t="shared" ref="M190:N190" si="150">+SUM(M191:M193)</f>
        <v>5837</v>
      </c>
      <c r="N190" s="4">
        <f t="shared" si="150"/>
        <v>0</v>
      </c>
    </row>
    <row r="191" spans="1:14" x14ac:dyDescent="0.35">
      <c r="A191" t="s">
        <v>87</v>
      </c>
      <c r="B191" s="3"/>
      <c r="C191" s="3"/>
      <c r="D191" s="3"/>
      <c r="E191" s="3">
        <v>5519</v>
      </c>
      <c r="F191" s="3"/>
      <c r="G191" s="3">
        <v>6503</v>
      </c>
      <c r="H191" s="3">
        <v>5846</v>
      </c>
      <c r="I191" s="3"/>
      <c r="J191" s="4" t="s">
        <v>2</v>
      </c>
      <c r="K191" s="3"/>
      <c r="L191" s="3">
        <v>6286</v>
      </c>
      <c r="M191" s="3">
        <f t="shared" ref="M191:M193" si="151">E191</f>
        <v>5519</v>
      </c>
      <c r="N191" s="3"/>
    </row>
    <row r="192" spans="1:14" x14ac:dyDescent="0.35">
      <c r="A192" t="s">
        <v>88</v>
      </c>
      <c r="B192" s="3"/>
      <c r="C192" s="3"/>
      <c r="D192" s="3"/>
      <c r="E192" s="3">
        <v>302</v>
      </c>
      <c r="F192" s="3"/>
      <c r="G192" s="3">
        <v>269</v>
      </c>
      <c r="H192" s="3">
        <v>334</v>
      </c>
      <c r="I192" s="3"/>
      <c r="J192" s="4" t="s">
        <v>2</v>
      </c>
      <c r="K192" s="3"/>
      <c r="L192" s="3">
        <v>271</v>
      </c>
      <c r="M192" s="3">
        <f t="shared" si="151"/>
        <v>302</v>
      </c>
      <c r="N192" s="3"/>
    </row>
    <row r="193" spans="1:14" x14ac:dyDescent="0.35">
      <c r="A193" t="s">
        <v>89</v>
      </c>
      <c r="B193" s="3"/>
      <c r="C193" s="3"/>
      <c r="D193" s="3"/>
      <c r="E193" s="3">
        <v>16</v>
      </c>
      <c r="F193" s="3"/>
      <c r="G193" s="3">
        <v>4</v>
      </c>
      <c r="H193" s="3">
        <v>15</v>
      </c>
      <c r="I193" s="3"/>
      <c r="J193" s="4" t="s">
        <v>2</v>
      </c>
      <c r="K193" s="3"/>
      <c r="L193" s="3">
        <v>97</v>
      </c>
      <c r="M193" s="3">
        <f t="shared" si="151"/>
        <v>16</v>
      </c>
      <c r="N193" s="3"/>
    </row>
    <row r="194" spans="1:14" x14ac:dyDescent="0.35">
      <c r="J194" s="4" t="s">
        <v>2</v>
      </c>
    </row>
    <row r="195" spans="1:14" s="2" customFormat="1" x14ac:dyDescent="0.35">
      <c r="A195" s="8" t="s">
        <v>135</v>
      </c>
      <c r="J195" s="4" t="s">
        <v>2</v>
      </c>
      <c r="K195" s="2">
        <f>+SUM(K196:K201)</f>
        <v>360</v>
      </c>
      <c r="L195" s="2">
        <f>+SUM(L196:L201)</f>
        <v>398</v>
      </c>
    </row>
    <row r="196" spans="1:14" s="2" customFormat="1" x14ac:dyDescent="0.35">
      <c r="A196" s="2" t="s">
        <v>141</v>
      </c>
      <c r="J196" s="4" t="s">
        <v>2</v>
      </c>
      <c r="K196" s="2">
        <f>K204-K212</f>
        <v>61</v>
      </c>
      <c r="L196" s="2">
        <f>L204-L212</f>
        <v>34</v>
      </c>
    </row>
    <row r="197" spans="1:14" s="2" customFormat="1" x14ac:dyDescent="0.35">
      <c r="A197" s="2" t="s">
        <v>142</v>
      </c>
      <c r="J197" s="4" t="s">
        <v>2</v>
      </c>
      <c r="K197" s="2">
        <f t="shared" ref="K197:L201" si="152">K205-K213</f>
        <v>0</v>
      </c>
      <c r="L197" s="2">
        <f t="shared" si="152"/>
        <v>92</v>
      </c>
    </row>
    <row r="198" spans="1:14" s="2" customFormat="1" x14ac:dyDescent="0.35">
      <c r="A198" s="2" t="s">
        <v>143</v>
      </c>
      <c r="J198" s="4" t="s">
        <v>2</v>
      </c>
      <c r="K198" s="2">
        <f t="shared" si="152"/>
        <v>46</v>
      </c>
      <c r="L198" s="2">
        <f t="shared" si="152"/>
        <v>47</v>
      </c>
    </row>
    <row r="199" spans="1:14" s="2" customFormat="1" x14ac:dyDescent="0.35">
      <c r="A199" s="2" t="s">
        <v>144</v>
      </c>
      <c r="J199" s="4" t="s">
        <v>2</v>
      </c>
      <c r="K199" s="2">
        <f t="shared" si="152"/>
        <v>183</v>
      </c>
      <c r="L199" s="2">
        <f t="shared" si="152"/>
        <v>166</v>
      </c>
    </row>
    <row r="200" spans="1:14" s="2" customFormat="1" x14ac:dyDescent="0.35">
      <c r="A200" s="2" t="s">
        <v>145</v>
      </c>
      <c r="J200" s="4" t="s">
        <v>2</v>
      </c>
      <c r="K200" s="2">
        <f t="shared" si="152"/>
        <v>55</v>
      </c>
      <c r="L200" s="2">
        <f t="shared" si="152"/>
        <v>45</v>
      </c>
    </row>
    <row r="201" spans="1:14" s="2" customFormat="1" x14ac:dyDescent="0.35">
      <c r="A201" s="2" t="s">
        <v>146</v>
      </c>
      <c r="J201" s="4" t="s">
        <v>2</v>
      </c>
      <c r="K201" s="2">
        <f t="shared" si="152"/>
        <v>15</v>
      </c>
      <c r="L201" s="2">
        <f t="shared" si="152"/>
        <v>14</v>
      </c>
    </row>
    <row r="202" spans="1:14" x14ac:dyDescent="0.35">
      <c r="J202" s="4" t="s">
        <v>2</v>
      </c>
    </row>
    <row r="203" spans="1:14" s="2" customFormat="1" x14ac:dyDescent="0.35">
      <c r="A203" s="2" t="s">
        <v>147</v>
      </c>
      <c r="J203" s="4" t="s">
        <v>2</v>
      </c>
      <c r="K203" s="2">
        <f>+SUM(K204:K209)</f>
        <v>686</v>
      </c>
      <c r="L203" s="2">
        <f>+SUM(L204:L209)</f>
        <v>793</v>
      </c>
    </row>
    <row r="204" spans="1:14" x14ac:dyDescent="0.35">
      <c r="A204" t="s">
        <v>136</v>
      </c>
      <c r="J204" s="4" t="s">
        <v>2</v>
      </c>
      <c r="K204">
        <v>151</v>
      </c>
      <c r="L204">
        <v>156</v>
      </c>
    </row>
    <row r="205" spans="1:14" x14ac:dyDescent="0.35">
      <c r="A205" t="s">
        <v>137</v>
      </c>
      <c r="J205" s="4" t="s">
        <v>2</v>
      </c>
      <c r="K205">
        <v>10</v>
      </c>
      <c r="L205">
        <v>102</v>
      </c>
    </row>
    <row r="206" spans="1:14" x14ac:dyDescent="0.35">
      <c r="A206" t="s">
        <v>138</v>
      </c>
      <c r="J206" s="4" t="s">
        <v>2</v>
      </c>
      <c r="K206">
        <v>63</v>
      </c>
      <c r="L206">
        <v>68</v>
      </c>
    </row>
    <row r="207" spans="1:14" x14ac:dyDescent="0.35">
      <c r="A207" t="s">
        <v>139</v>
      </c>
      <c r="J207" s="4" t="s">
        <v>2</v>
      </c>
      <c r="K207">
        <v>293</v>
      </c>
      <c r="L207">
        <v>299</v>
      </c>
    </row>
    <row r="208" spans="1:14" x14ac:dyDescent="0.35">
      <c r="A208" t="s">
        <v>140</v>
      </c>
      <c r="J208" s="4" t="s">
        <v>2</v>
      </c>
      <c r="K208">
        <v>128</v>
      </c>
      <c r="L208">
        <v>131</v>
      </c>
    </row>
    <row r="209" spans="1:12" x14ac:dyDescent="0.35">
      <c r="A209" t="s">
        <v>49</v>
      </c>
      <c r="J209" s="4" t="s">
        <v>2</v>
      </c>
      <c r="K209">
        <v>41</v>
      </c>
      <c r="L209">
        <v>37</v>
      </c>
    </row>
    <row r="210" spans="1:12" x14ac:dyDescent="0.35">
      <c r="J210" s="4" t="s">
        <v>2</v>
      </c>
    </row>
    <row r="211" spans="1:12" x14ac:dyDescent="0.35">
      <c r="A211" s="2" t="s">
        <v>148</v>
      </c>
      <c r="J211" s="4" t="s">
        <v>2</v>
      </c>
      <c r="K211" s="2">
        <f>+SUM(K212:K217)</f>
        <v>326</v>
      </c>
      <c r="L211" s="2">
        <f>+SUM(L212:L217)</f>
        <v>395</v>
      </c>
    </row>
    <row r="212" spans="1:12" x14ac:dyDescent="0.35">
      <c r="A212" t="s">
        <v>136</v>
      </c>
      <c r="J212" s="4" t="s">
        <v>2</v>
      </c>
      <c r="K212">
        <v>90</v>
      </c>
      <c r="L212">
        <v>122</v>
      </c>
    </row>
    <row r="213" spans="1:12" x14ac:dyDescent="0.35">
      <c r="A213" t="s">
        <v>137</v>
      </c>
      <c r="J213" s="4" t="s">
        <v>2</v>
      </c>
      <c r="K213">
        <v>10</v>
      </c>
      <c r="L213">
        <v>10</v>
      </c>
    </row>
    <row r="214" spans="1:12" x14ac:dyDescent="0.35">
      <c r="A214" t="s">
        <v>138</v>
      </c>
      <c r="J214" s="4" t="s">
        <v>2</v>
      </c>
      <c r="K214">
        <v>17</v>
      </c>
      <c r="L214">
        <v>21</v>
      </c>
    </row>
    <row r="215" spans="1:12" x14ac:dyDescent="0.35">
      <c r="A215" t="s">
        <v>139</v>
      </c>
      <c r="J215" s="4" t="s">
        <v>2</v>
      </c>
      <c r="K215">
        <v>110</v>
      </c>
      <c r="L215">
        <v>133</v>
      </c>
    </row>
    <row r="216" spans="1:12" x14ac:dyDescent="0.35">
      <c r="A216" t="s">
        <v>140</v>
      </c>
      <c r="J216" s="4" t="s">
        <v>2</v>
      </c>
      <c r="K216">
        <v>73</v>
      </c>
      <c r="L216">
        <v>86</v>
      </c>
    </row>
    <row r="217" spans="1:12" x14ac:dyDescent="0.35">
      <c r="A217" t="s">
        <v>49</v>
      </c>
      <c r="J217" s="4" t="s">
        <v>2</v>
      </c>
      <c r="K217">
        <v>26</v>
      </c>
      <c r="L217">
        <v>23</v>
      </c>
    </row>
  </sheetData>
  <hyperlinks>
    <hyperlink ref="A1" location="main!A1" display="main" xr:uid="{61F99759-F968-4E89-BD1C-35F0F3D03BFE}"/>
  </hyperlinks>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6F121-6CD2-49E6-B73F-4BC4028DF4EC}">
  <dimension ref="A1"/>
  <sheetViews>
    <sheetView topLeftCell="A25" workbookViewId="0">
      <selection activeCell="C70" sqref="C70"/>
    </sheetView>
  </sheetViews>
  <sheetFormatPr defaultRowHeight="14.5" x14ac:dyDescent="0.3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B640F3-8F3E-49C6-89D5-0706EF3A7613}">
  <dimension ref="A1:B3"/>
  <sheetViews>
    <sheetView workbookViewId="0">
      <selection activeCell="F54" sqref="F54"/>
    </sheetView>
  </sheetViews>
  <sheetFormatPr defaultRowHeight="14.5" x14ac:dyDescent="0.35"/>
  <sheetData>
    <row r="1" spans="1:2" x14ac:dyDescent="0.35">
      <c r="A1" s="1" t="s">
        <v>0</v>
      </c>
    </row>
    <row r="3" spans="1:2" x14ac:dyDescent="0.35">
      <c r="B3" t="s">
        <v>121</v>
      </c>
    </row>
  </sheetData>
  <hyperlinks>
    <hyperlink ref="A1" location="main!A1" display="main" xr:uid="{0DCE0AB6-82C9-486B-A028-548EBB073B34}"/>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0895BE-7925-4255-B922-7F85FFD1DC63}">
  <dimension ref="A1"/>
  <sheetViews>
    <sheetView workbookViewId="0">
      <selection activeCell="A47" sqref="A47"/>
    </sheetView>
  </sheetViews>
  <sheetFormatPr defaultRowHeight="14.5" x14ac:dyDescent="0.3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498DB5-4081-49A2-9F1E-559A3CDE5861}">
  <dimension ref="A1"/>
  <sheetViews>
    <sheetView topLeftCell="A25" workbookViewId="0">
      <selection activeCell="O49" sqref="O49"/>
    </sheetView>
  </sheetViews>
  <sheetFormatPr defaultRowHeight="14.5" x14ac:dyDescent="0.3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FEE1F-103B-4417-9163-871630350EBE}">
  <dimension ref="A1"/>
  <sheetViews>
    <sheetView topLeftCell="A19" workbookViewId="0">
      <selection activeCell="B49" sqref="B49"/>
    </sheetView>
  </sheetViews>
  <sheetFormatPr defaultRowHeight="14.5" x14ac:dyDescent="0.3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08D577-7BBA-426D-B134-C61CA10E70FA}">
  <dimension ref="A1"/>
  <sheetViews>
    <sheetView topLeftCell="A7" workbookViewId="0">
      <selection activeCell="O21" sqref="O21"/>
    </sheetView>
  </sheetViews>
  <sheetFormatPr defaultRowHeight="14.5" x14ac:dyDescent="0.3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851D1B-8BDF-4D46-AF53-7F92B629062D}">
  <dimension ref="A1"/>
  <sheetViews>
    <sheetView workbookViewId="0">
      <selection activeCell="E35" sqref="E35"/>
    </sheetView>
  </sheetViews>
  <sheetFormatPr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main</vt:lpstr>
      <vt:lpstr>model</vt:lpstr>
      <vt:lpstr>Affiliates</vt:lpstr>
      <vt:lpstr>Acquisitions</vt:lpstr>
      <vt:lpstr>Properties</vt:lpstr>
      <vt:lpstr>Agribusiness</vt:lpstr>
      <vt:lpstr>RefinedSpecialtyOils</vt:lpstr>
      <vt:lpstr>Milling</vt:lpstr>
      <vt:lpstr>CorporateOther</vt:lpstr>
      <vt:lpstr>SugarBioenergy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corey</dc:creator>
  <cp:lastModifiedBy>Corey Christner</cp:lastModifiedBy>
  <dcterms:created xsi:type="dcterms:W3CDTF">2015-06-05T18:17:20Z</dcterms:created>
  <dcterms:modified xsi:type="dcterms:W3CDTF">2025-06-15T12:48:54Z</dcterms:modified>
</cp:coreProperties>
</file>